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入力・結果表示シート" sheetId="2" r:id="rId1"/>
    <sheet name="計算シート（入力不可）" sheetId="1"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 l="1"/>
  <c r="D32" i="1"/>
  <c r="C15" i="1" l="1"/>
  <c r="C16" i="1"/>
  <c r="C17" i="1"/>
  <c r="C18" i="1"/>
  <c r="P11" i="1" l="1"/>
  <c r="P10" i="1"/>
  <c r="P9" i="1"/>
  <c r="P8" i="1"/>
  <c r="P7" i="1"/>
  <c r="P6" i="1"/>
  <c r="P5" i="1"/>
  <c r="B23" i="1" l="1"/>
  <c r="B13" i="1" l="1"/>
  <c r="C13" i="1" s="1"/>
  <c r="E8" i="1"/>
  <c r="E7" i="1"/>
  <c r="E6" i="1"/>
  <c r="E5" i="1"/>
  <c r="P3" i="1" l="1"/>
  <c r="P4" i="1" s="1"/>
  <c r="D8" i="1"/>
  <c r="D7" i="1"/>
  <c r="D6" i="1"/>
  <c r="D5" i="1"/>
  <c r="D4" i="1"/>
  <c r="D3" i="1"/>
  <c r="B18" i="1"/>
  <c r="B17" i="1"/>
  <c r="B16" i="1"/>
  <c r="B15" i="1"/>
  <c r="B14" i="1"/>
  <c r="C14" i="1" s="1"/>
  <c r="B31" i="1" l="1"/>
  <c r="B36" i="1" l="1"/>
  <c r="B35" i="1"/>
  <c r="B34" i="1"/>
  <c r="B33" i="1"/>
  <c r="B32" i="1" l="1"/>
  <c r="F49" i="1"/>
  <c r="F48" i="1"/>
  <c r="F47" i="1"/>
  <c r="F46" i="1"/>
  <c r="C49" i="1"/>
  <c r="C48" i="1"/>
  <c r="C47" i="1"/>
  <c r="C46" i="1"/>
  <c r="D33" i="1"/>
  <c r="E33" i="1" s="1"/>
  <c r="D34" i="1"/>
  <c r="E34" i="1" s="1"/>
  <c r="D35" i="1"/>
  <c r="E35" i="1" s="1"/>
  <c r="D36" i="1"/>
  <c r="E36" i="1" s="1"/>
  <c r="I85" i="2" l="1"/>
  <c r="B95" i="2" l="1"/>
  <c r="J88" i="2" l="1"/>
  <c r="K88" i="2" s="1"/>
  <c r="J92" i="2" l="1"/>
  <c r="K92" i="2" s="1"/>
  <c r="J93" i="2"/>
  <c r="K93" i="2" s="1"/>
  <c r="J89" i="2" l="1"/>
  <c r="K89" i="2" s="1"/>
  <c r="E32" i="1"/>
  <c r="J91" i="2"/>
  <c r="K91" i="2" s="1"/>
  <c r="J90" i="2"/>
  <c r="K90" i="2" s="1"/>
  <c r="B97" i="2" l="1"/>
  <c r="F13" i="1"/>
  <c r="U59" i="1"/>
  <c r="T59" i="1"/>
  <c r="S59" i="1"/>
  <c r="R59" i="1"/>
  <c r="Q59" i="1"/>
  <c r="P59" i="1"/>
  <c r="U41" i="1"/>
  <c r="T41" i="1"/>
  <c r="S41" i="1"/>
  <c r="R41" i="1"/>
  <c r="Q41" i="1"/>
  <c r="P41" i="1"/>
  <c r="U23" i="1"/>
  <c r="T23" i="1"/>
  <c r="S23" i="1"/>
  <c r="R23" i="1"/>
  <c r="Q23" i="1"/>
  <c r="P23" i="1"/>
  <c r="O68" i="1"/>
  <c r="O67" i="1"/>
  <c r="O66" i="1"/>
  <c r="O65" i="1"/>
  <c r="O63" i="1"/>
  <c r="O62" i="1"/>
  <c r="O61" i="1"/>
  <c r="O60" i="1"/>
  <c r="O50" i="1"/>
  <c r="O49" i="1"/>
  <c r="O48" i="1"/>
  <c r="O47" i="1"/>
  <c r="O45" i="1"/>
  <c r="O44" i="1"/>
  <c r="O43" i="1"/>
  <c r="O42" i="1"/>
  <c r="O29" i="1"/>
  <c r="O24" i="1"/>
  <c r="Q3" i="1"/>
  <c r="Q14" i="1" l="1"/>
  <c r="Q13" i="1"/>
  <c r="Q4" i="1"/>
  <c r="P13" i="1"/>
  <c r="P22" i="1"/>
  <c r="P14" i="1"/>
  <c r="F16" i="1" l="1"/>
  <c r="I47" i="1"/>
  <c r="F15" i="1"/>
  <c r="I46" i="1"/>
  <c r="F18" i="1"/>
  <c r="I49" i="1"/>
  <c r="F17" i="1"/>
  <c r="I48" i="1"/>
  <c r="H48" i="1"/>
  <c r="H49" i="1"/>
  <c r="S40" i="1"/>
  <c r="S58" i="1"/>
  <c r="R40" i="1"/>
  <c r="R58" i="1"/>
  <c r="T58" i="1"/>
  <c r="T40" i="1"/>
  <c r="U40" i="1"/>
  <c r="U58" i="1"/>
  <c r="U68" i="1" l="1"/>
  <c r="U69" i="1"/>
  <c r="U67" i="1"/>
  <c r="U65" i="1"/>
  <c r="U63" i="1"/>
  <c r="U61" i="1"/>
  <c r="U62" i="1"/>
  <c r="U66" i="1"/>
  <c r="U64" i="1"/>
  <c r="U60" i="1"/>
  <c r="U51" i="1"/>
  <c r="U49" i="1"/>
  <c r="U47" i="1"/>
  <c r="U45" i="1"/>
  <c r="U43" i="1"/>
  <c r="U48" i="1"/>
  <c r="U44" i="1"/>
  <c r="U50" i="1"/>
  <c r="U46" i="1"/>
  <c r="U42" i="1"/>
  <c r="T69" i="1"/>
  <c r="T67" i="1"/>
  <c r="T65" i="1"/>
  <c r="T63" i="1"/>
  <c r="T61" i="1"/>
  <c r="T68" i="1"/>
  <c r="T66" i="1"/>
  <c r="T64" i="1"/>
  <c r="T62" i="1"/>
  <c r="T60" i="1"/>
  <c r="T51" i="1"/>
  <c r="T49" i="1"/>
  <c r="T47" i="1"/>
  <c r="T45" i="1"/>
  <c r="T43" i="1"/>
  <c r="T50" i="1"/>
  <c r="T48" i="1"/>
  <c r="T46" i="1"/>
  <c r="T44" i="1"/>
  <c r="T42" i="1"/>
  <c r="S67" i="1"/>
  <c r="S63" i="1"/>
  <c r="S66" i="1"/>
  <c r="S68" i="1"/>
  <c r="S64" i="1"/>
  <c r="S60" i="1"/>
  <c r="S69" i="1"/>
  <c r="S65" i="1"/>
  <c r="S61" i="1"/>
  <c r="S62" i="1"/>
  <c r="S49" i="1"/>
  <c r="S45" i="1"/>
  <c r="S50" i="1"/>
  <c r="S46" i="1"/>
  <c r="S42" i="1"/>
  <c r="S51" i="1"/>
  <c r="S47" i="1"/>
  <c r="S43" i="1"/>
  <c r="S48" i="1"/>
  <c r="S44" i="1"/>
  <c r="R69" i="1"/>
  <c r="R68" i="1"/>
  <c r="R67" i="1"/>
  <c r="R66" i="1"/>
  <c r="R65" i="1"/>
  <c r="R64" i="1"/>
  <c r="R63" i="1"/>
  <c r="R62" i="1"/>
  <c r="R61" i="1"/>
  <c r="R60" i="1"/>
  <c r="R51" i="1"/>
  <c r="R50" i="1"/>
  <c r="R49" i="1"/>
  <c r="R48" i="1"/>
  <c r="R47" i="1"/>
  <c r="R46" i="1"/>
  <c r="R45" i="1"/>
  <c r="R44" i="1"/>
  <c r="R43" i="1"/>
  <c r="R42" i="1"/>
  <c r="O32" i="1"/>
  <c r="O27" i="1"/>
  <c r="R52" i="1" l="1"/>
  <c r="R53" i="1" s="1"/>
  <c r="T52" i="1"/>
  <c r="T53" i="1" s="1"/>
  <c r="U52" i="1"/>
  <c r="U53" i="1" s="1"/>
  <c r="T70" i="1"/>
  <c r="T71" i="1" s="1"/>
  <c r="U70" i="1"/>
  <c r="U71" i="1" s="1"/>
  <c r="S52" i="1"/>
  <c r="S53" i="1" s="1"/>
  <c r="S70" i="1"/>
  <c r="S71" i="1" s="1"/>
  <c r="R70" i="1"/>
  <c r="R71" i="1" s="1"/>
  <c r="P24" i="1"/>
  <c r="P58" i="1"/>
  <c r="P40" i="1"/>
  <c r="U3" i="1"/>
  <c r="T3" i="1"/>
  <c r="S3" i="1"/>
  <c r="R3" i="1"/>
  <c r="T14" i="1" l="1"/>
  <c r="T4" i="1"/>
  <c r="T13" i="1"/>
  <c r="U13" i="1"/>
  <c r="U14" i="1"/>
  <c r="U4" i="1"/>
  <c r="S14" i="1"/>
  <c r="S13" i="1"/>
  <c r="S4" i="1"/>
  <c r="R13" i="1"/>
  <c r="R4" i="1"/>
  <c r="R14" i="1"/>
  <c r="F14" i="1"/>
  <c r="Q22" i="1"/>
  <c r="Q40" i="1"/>
  <c r="Q58" i="1"/>
  <c r="O31" i="1"/>
  <c r="O30" i="1"/>
  <c r="O25" i="1"/>
  <c r="P25" i="1" s="1"/>
  <c r="O26" i="1"/>
  <c r="O6" i="1"/>
  <c r="O7" i="1"/>
  <c r="R7" i="1" s="1"/>
  <c r="O8" i="1"/>
  <c r="T8" i="1" s="1"/>
  <c r="O9" i="1"/>
  <c r="O10" i="1"/>
  <c r="Q10" i="1" s="1"/>
  <c r="O11" i="1"/>
  <c r="Q11" i="1" s="1"/>
  <c r="O12" i="1"/>
  <c r="Q12" i="1" s="1"/>
  <c r="O5" i="1"/>
  <c r="T5" i="1" s="1"/>
  <c r="S7" i="1" l="1"/>
  <c r="U8" i="1"/>
  <c r="Q6" i="1"/>
  <c r="R5" i="1"/>
  <c r="R10" i="1"/>
  <c r="T11" i="1"/>
  <c r="Q9" i="1"/>
  <c r="U5" i="1"/>
  <c r="Q8" i="1"/>
  <c r="R11" i="1"/>
  <c r="S8" i="1"/>
  <c r="S11" i="1"/>
  <c r="U9" i="1"/>
  <c r="U10" i="1"/>
  <c r="T10" i="1"/>
  <c r="Q5" i="1"/>
  <c r="S10" i="1"/>
  <c r="Q7" i="1"/>
  <c r="R9" i="1"/>
  <c r="R6" i="1"/>
  <c r="S12" i="1"/>
  <c r="U7" i="1"/>
  <c r="U12" i="1"/>
  <c r="T7" i="1"/>
  <c r="T12" i="1"/>
  <c r="R12" i="1"/>
  <c r="R8" i="1"/>
  <c r="S9" i="1"/>
  <c r="S5" i="1"/>
  <c r="S6" i="1"/>
  <c r="U11" i="1"/>
  <c r="U6" i="1"/>
  <c r="T9" i="1"/>
  <c r="T6" i="1"/>
  <c r="Q32" i="1"/>
  <c r="Q28" i="1"/>
  <c r="Q24" i="1"/>
  <c r="Q31" i="1"/>
  <c r="Q27" i="1"/>
  <c r="Q30" i="1"/>
  <c r="Q26" i="1"/>
  <c r="Q33" i="1"/>
  <c r="Q29" i="1"/>
  <c r="Q25" i="1"/>
  <c r="Q67" i="1"/>
  <c r="Q63" i="1"/>
  <c r="Q66" i="1"/>
  <c r="Q62" i="1"/>
  <c r="Q69" i="1"/>
  <c r="Q65" i="1"/>
  <c r="Q61" i="1"/>
  <c r="Q68" i="1"/>
  <c r="Q64" i="1"/>
  <c r="Q60" i="1"/>
  <c r="Q49" i="1"/>
  <c r="Q45" i="1"/>
  <c r="Q48" i="1"/>
  <c r="Q44" i="1"/>
  <c r="Q51" i="1"/>
  <c r="Q47" i="1"/>
  <c r="Q43" i="1"/>
  <c r="Q50" i="1"/>
  <c r="Q46" i="1"/>
  <c r="Q42" i="1"/>
  <c r="P12" i="1"/>
  <c r="U22" i="1"/>
  <c r="S22" i="1"/>
  <c r="T22" i="1"/>
  <c r="R22" i="1"/>
  <c r="P15" i="1" l="1"/>
  <c r="B3" i="1" s="1"/>
  <c r="Q15" i="1"/>
  <c r="T33" i="1"/>
  <c r="T31" i="1"/>
  <c r="T29" i="1"/>
  <c r="T27" i="1"/>
  <c r="T25" i="1"/>
  <c r="T32" i="1"/>
  <c r="T30" i="1"/>
  <c r="T28" i="1"/>
  <c r="T26" i="1"/>
  <c r="T24" i="1"/>
  <c r="U33" i="1"/>
  <c r="U31" i="1"/>
  <c r="U29" i="1"/>
  <c r="U27" i="1"/>
  <c r="U25" i="1"/>
  <c r="U30" i="1"/>
  <c r="U24" i="1"/>
  <c r="U32" i="1"/>
  <c r="U28" i="1"/>
  <c r="U26" i="1"/>
  <c r="S31" i="1"/>
  <c r="S27" i="1"/>
  <c r="S32" i="1"/>
  <c r="S28" i="1"/>
  <c r="S24" i="1"/>
  <c r="S26" i="1"/>
  <c r="S33" i="1"/>
  <c r="S29" i="1"/>
  <c r="S25" i="1"/>
  <c r="S30" i="1"/>
  <c r="Q70" i="1"/>
  <c r="Q71" i="1" s="1"/>
  <c r="R33" i="1"/>
  <c r="R32" i="1"/>
  <c r="R31" i="1"/>
  <c r="R30" i="1"/>
  <c r="R29" i="1"/>
  <c r="R28" i="1"/>
  <c r="R27" i="1"/>
  <c r="R26" i="1"/>
  <c r="R25" i="1"/>
  <c r="R24" i="1"/>
  <c r="Q34" i="1"/>
  <c r="Q35" i="1" s="1"/>
  <c r="Q52" i="1"/>
  <c r="Q53" i="1" s="1"/>
  <c r="R15" i="1"/>
  <c r="T15" i="1"/>
  <c r="U15" i="1"/>
  <c r="S15" i="1"/>
  <c r="B8" i="1" l="1"/>
  <c r="U75" i="1" s="1"/>
  <c r="B7" i="1"/>
  <c r="T75" i="1" s="1"/>
  <c r="B6" i="1"/>
  <c r="S75" i="1" s="1"/>
  <c r="B5" i="1"/>
  <c r="R75" i="1" s="1"/>
  <c r="B4" i="1"/>
  <c r="U34" i="1"/>
  <c r="U35" i="1" s="1"/>
  <c r="T34" i="1"/>
  <c r="T35" i="1" s="1"/>
  <c r="S34" i="1"/>
  <c r="S35" i="1" s="1"/>
  <c r="R34" i="1"/>
  <c r="R35" i="1" s="1"/>
  <c r="P28" i="1"/>
  <c r="U76" i="1" l="1"/>
  <c r="C8" i="1" s="1"/>
  <c r="D18" i="1" s="1"/>
  <c r="T76" i="1"/>
  <c r="C7" i="1" s="1"/>
  <c r="D17" i="1" s="1"/>
  <c r="S76" i="1"/>
  <c r="C6" i="1" s="1"/>
  <c r="D16" i="1" s="1"/>
  <c r="R76" i="1"/>
  <c r="C5" i="1" s="1"/>
  <c r="Q75" i="1"/>
  <c r="Q76" i="1" s="1"/>
  <c r="C4" i="1" s="1"/>
  <c r="P75" i="1"/>
  <c r="P48" i="1"/>
  <c r="P44" i="1"/>
  <c r="P49" i="1"/>
  <c r="P50" i="1"/>
  <c r="P51" i="1"/>
  <c r="P47" i="1"/>
  <c r="P46" i="1"/>
  <c r="P45" i="1"/>
  <c r="P42" i="1"/>
  <c r="P43" i="1"/>
  <c r="P66" i="1"/>
  <c r="P64" i="1"/>
  <c r="P69" i="1"/>
  <c r="P62" i="1"/>
  <c r="P61" i="1"/>
  <c r="P67" i="1"/>
  <c r="P65" i="1"/>
  <c r="P63" i="1"/>
  <c r="P68" i="1"/>
  <c r="P60" i="1"/>
  <c r="P30" i="1"/>
  <c r="P31" i="1"/>
  <c r="P33" i="1"/>
  <c r="P32" i="1"/>
  <c r="P29" i="1"/>
  <c r="P27" i="1"/>
  <c r="P26" i="1"/>
  <c r="E4" i="1" l="1"/>
  <c r="D14" i="1"/>
  <c r="D15" i="1"/>
  <c r="E15" i="1" s="1"/>
  <c r="P34" i="1"/>
  <c r="P35" i="1" s="1"/>
  <c r="P70" i="1"/>
  <c r="P71" i="1" s="1"/>
  <c r="P52" i="1"/>
  <c r="P53" i="1" s="1"/>
  <c r="P76" i="1" l="1"/>
  <c r="C3" i="1" s="1"/>
  <c r="E3" i="1" l="1"/>
  <c r="F3" i="1" s="1"/>
  <c r="B44" i="1" s="1"/>
  <c r="D13" i="1"/>
  <c r="E13" i="1" s="1"/>
  <c r="C23" i="1"/>
  <c r="D25" i="1" s="1"/>
  <c r="E18" i="1"/>
  <c r="F8" i="1"/>
  <c r="D24" i="1" l="1"/>
  <c r="D23" i="1"/>
  <c r="E49" i="1"/>
  <c r="B49" i="1"/>
  <c r="E17" i="1"/>
  <c r="F7" i="1" l="1"/>
  <c r="B48" i="1" l="1"/>
  <c r="E48" i="1"/>
  <c r="H44" i="1"/>
  <c r="E44" i="1"/>
  <c r="F5" i="1" l="1"/>
  <c r="E16" i="1"/>
  <c r="F6" i="1" l="1"/>
  <c r="E46" i="1" l="1"/>
  <c r="H46" i="1"/>
  <c r="B46" i="1"/>
  <c r="H47" i="1"/>
  <c r="B47" i="1" l="1"/>
  <c r="E47" i="1"/>
  <c r="F4" i="1" l="1"/>
  <c r="E45" i="1" l="1"/>
  <c r="E50" i="1" s="1"/>
  <c r="E14" i="1"/>
  <c r="E19" i="1" s="1"/>
  <c r="E25" i="1" l="1"/>
  <c r="E24" i="1"/>
  <c r="E23" i="1"/>
  <c r="B45" i="1"/>
  <c r="B50" i="1" s="1"/>
  <c r="H45" i="1"/>
  <c r="H50" i="1" s="1"/>
  <c r="F9" i="1"/>
  <c r="G25" i="1" l="1"/>
  <c r="I45" i="1"/>
  <c r="E31" i="1" l="1"/>
  <c r="I44" i="1" s="1"/>
  <c r="D44" i="1"/>
  <c r="D50" i="1" s="1"/>
  <c r="C45" i="1"/>
  <c r="F45" i="1"/>
  <c r="J44" i="1"/>
  <c r="J50" i="1" s="1"/>
  <c r="G44" i="1"/>
  <c r="G50" i="1" s="1"/>
  <c r="F44" i="1" l="1"/>
  <c r="F50" i="1" s="1"/>
  <c r="E52" i="1" s="1"/>
  <c r="E102" i="2" s="1"/>
  <c r="C44" i="1"/>
  <c r="C50" i="1" s="1"/>
  <c r="B52" i="1" s="1"/>
  <c r="I50" i="1"/>
  <c r="H52" i="1" s="1"/>
  <c r="G102" i="2" s="1"/>
  <c r="B55" i="1" l="1"/>
  <c r="I102" i="2" s="1"/>
  <c r="C102" i="2"/>
</calcChain>
</file>

<file path=xl/sharedStrings.xml><?xml version="1.0" encoding="utf-8"?>
<sst xmlns="http://schemas.openxmlformats.org/spreadsheetml/2006/main" count="406" uniqueCount="288">
  <si>
    <t>世帯構成員</t>
    <rPh sb="0" eb="2">
      <t>セタイ</t>
    </rPh>
    <rPh sb="2" eb="5">
      <t>コウセイイン</t>
    </rPh>
    <phoneticPr fontId="2"/>
  </si>
  <si>
    <t>給与所得</t>
    <rPh sb="0" eb="2">
      <t>キュウヨ</t>
    </rPh>
    <rPh sb="2" eb="4">
      <t>ショトク</t>
    </rPh>
    <phoneticPr fontId="2"/>
  </si>
  <si>
    <t>年金所得</t>
    <rPh sb="0" eb="2">
      <t>ネンキン</t>
    </rPh>
    <rPh sb="2" eb="4">
      <t>ショトク</t>
    </rPh>
    <phoneticPr fontId="2"/>
  </si>
  <si>
    <t>総所得金額等</t>
    <rPh sb="0" eb="3">
      <t>ソウショトク</t>
    </rPh>
    <rPh sb="3" eb="5">
      <t>キンガク</t>
    </rPh>
    <rPh sb="5" eb="6">
      <t>トウ</t>
    </rPh>
    <phoneticPr fontId="2"/>
  </si>
  <si>
    <t>基礎控除後</t>
    <rPh sb="0" eb="2">
      <t>キソ</t>
    </rPh>
    <rPh sb="2" eb="4">
      <t>コウジョ</t>
    </rPh>
    <rPh sb="4" eb="5">
      <t>ゴ</t>
    </rPh>
    <phoneticPr fontId="2"/>
  </si>
  <si>
    <t>医療分</t>
    <rPh sb="0" eb="2">
      <t>イリョウ</t>
    </rPh>
    <rPh sb="2" eb="3">
      <t>ブン</t>
    </rPh>
    <phoneticPr fontId="2"/>
  </si>
  <si>
    <t>所得割</t>
    <rPh sb="0" eb="2">
      <t>ショトク</t>
    </rPh>
    <rPh sb="2" eb="3">
      <t>ワリ</t>
    </rPh>
    <phoneticPr fontId="2"/>
  </si>
  <si>
    <t>均等割</t>
    <rPh sb="0" eb="2">
      <t>キントウ</t>
    </rPh>
    <rPh sb="2" eb="3">
      <t>ワ</t>
    </rPh>
    <phoneticPr fontId="2"/>
  </si>
  <si>
    <t>平等割</t>
    <rPh sb="0" eb="2">
      <t>ビョウドウ</t>
    </rPh>
    <rPh sb="2" eb="3">
      <t>ワリ</t>
    </rPh>
    <phoneticPr fontId="2"/>
  </si>
  <si>
    <t>支援分</t>
    <rPh sb="0" eb="2">
      <t>シエン</t>
    </rPh>
    <rPh sb="2" eb="3">
      <t>ブン</t>
    </rPh>
    <phoneticPr fontId="2"/>
  </si>
  <si>
    <t>介護分</t>
    <rPh sb="0" eb="2">
      <t>カイゴ</t>
    </rPh>
    <rPh sb="2" eb="3">
      <t>ブン</t>
    </rPh>
    <phoneticPr fontId="2"/>
  </si>
  <si>
    <t>世帯主</t>
    <rPh sb="0" eb="3">
      <t>セタイヌシ</t>
    </rPh>
    <phoneticPr fontId="2"/>
  </si>
  <si>
    <t>世帯員1</t>
    <rPh sb="0" eb="3">
      <t>セタイイン</t>
    </rPh>
    <phoneticPr fontId="2"/>
  </si>
  <si>
    <t>世帯員2</t>
    <rPh sb="0" eb="3">
      <t>セタイイン</t>
    </rPh>
    <phoneticPr fontId="2"/>
  </si>
  <si>
    <t>世帯員3</t>
    <rPh sb="0" eb="3">
      <t>セタイイン</t>
    </rPh>
    <phoneticPr fontId="2"/>
  </si>
  <si>
    <t>世帯員4</t>
    <rPh sb="0" eb="3">
      <t>セタイイン</t>
    </rPh>
    <phoneticPr fontId="2"/>
  </si>
  <si>
    <t>世帯員5</t>
    <rPh sb="0" eb="3">
      <t>セタイイン</t>
    </rPh>
    <phoneticPr fontId="2"/>
  </si>
  <si>
    <t>軽減判定用
年金所得</t>
    <rPh sb="0" eb="2">
      <t>ケイゲン</t>
    </rPh>
    <rPh sb="2" eb="5">
      <t>ハンテイヨウ</t>
    </rPh>
    <rPh sb="6" eb="8">
      <t>ネンキン</t>
    </rPh>
    <rPh sb="8" eb="10">
      <t>ショトク</t>
    </rPh>
    <phoneticPr fontId="2"/>
  </si>
  <si>
    <t>軽減判定用
総所得金額等</t>
    <rPh sb="6" eb="7">
      <t>ソウ</t>
    </rPh>
    <rPh sb="7" eb="9">
      <t>ショトク</t>
    </rPh>
    <rPh sb="9" eb="11">
      <t>キンガク</t>
    </rPh>
    <rPh sb="11" eb="12">
      <t>トウ</t>
    </rPh>
    <phoneticPr fontId="2"/>
  </si>
  <si>
    <t>限度額</t>
    <rPh sb="0" eb="2">
      <t>ゲンド</t>
    </rPh>
    <rPh sb="2" eb="3">
      <t>ガク</t>
    </rPh>
    <phoneticPr fontId="2"/>
  </si>
  <si>
    <t>人数</t>
    <rPh sb="0" eb="2">
      <t>ニンズウ</t>
    </rPh>
    <phoneticPr fontId="2"/>
  </si>
  <si>
    <t>基準所得</t>
    <rPh sb="0" eb="2">
      <t>キジュン</t>
    </rPh>
    <rPh sb="2" eb="4">
      <t>ショトク</t>
    </rPh>
    <phoneticPr fontId="2"/>
  </si>
  <si>
    <t>所得割算出基準額</t>
    <rPh sb="0" eb="2">
      <t>ショトク</t>
    </rPh>
    <rPh sb="2" eb="3">
      <t>ワリ</t>
    </rPh>
    <rPh sb="3" eb="5">
      <t>サンシュツ</t>
    </rPh>
    <rPh sb="5" eb="7">
      <t>キジュン</t>
    </rPh>
    <rPh sb="7" eb="8">
      <t>ガク</t>
    </rPh>
    <phoneticPr fontId="2"/>
  </si>
  <si>
    <t>軽減判定用所得</t>
    <rPh sb="0" eb="2">
      <t>ケイゲン</t>
    </rPh>
    <rPh sb="2" eb="5">
      <t>ハンテイヨウ</t>
    </rPh>
    <rPh sb="5" eb="7">
      <t>ショトク</t>
    </rPh>
    <phoneticPr fontId="2"/>
  </si>
  <si>
    <t>7割軽減判定</t>
    <rPh sb="1" eb="2">
      <t>ワリ</t>
    </rPh>
    <rPh sb="2" eb="4">
      <t>ケイゲン</t>
    </rPh>
    <rPh sb="4" eb="6">
      <t>ハンテイ</t>
    </rPh>
    <phoneticPr fontId="2"/>
  </si>
  <si>
    <t>5割軽減判定</t>
    <rPh sb="1" eb="2">
      <t>ワリ</t>
    </rPh>
    <rPh sb="2" eb="4">
      <t>ケイゲン</t>
    </rPh>
    <rPh sb="4" eb="6">
      <t>ハンテイ</t>
    </rPh>
    <phoneticPr fontId="2"/>
  </si>
  <si>
    <t>2割軽減判定</t>
    <rPh sb="1" eb="2">
      <t>ワリ</t>
    </rPh>
    <rPh sb="2" eb="4">
      <t>ケイゲン</t>
    </rPh>
    <rPh sb="4" eb="6">
      <t>ハンテイ</t>
    </rPh>
    <phoneticPr fontId="2"/>
  </si>
  <si>
    <t>割軽減</t>
    <rPh sb="0" eb="1">
      <t>ワ</t>
    </rPh>
    <rPh sb="1" eb="3">
      <t>ケイゲン</t>
    </rPh>
    <phoneticPr fontId="2"/>
  </si>
  <si>
    <t>⇒</t>
    <phoneticPr fontId="2"/>
  </si>
  <si>
    <t>～</t>
    <phoneticPr fontId="2"/>
  </si>
  <si>
    <t>給与収入</t>
    <rPh sb="0" eb="2">
      <t>キュウヨ</t>
    </rPh>
    <rPh sb="2" eb="4">
      <t>シュウニュウ</t>
    </rPh>
    <phoneticPr fontId="2"/>
  </si>
  <si>
    <t>給与所得計算表</t>
    <rPh sb="0" eb="2">
      <t>キュウヨ</t>
    </rPh>
    <rPh sb="2" eb="4">
      <t>ショトク</t>
    </rPh>
    <rPh sb="4" eb="6">
      <t>ケイサン</t>
    </rPh>
    <rPh sb="6" eb="7">
      <t>ヒョウ</t>
    </rPh>
    <phoneticPr fontId="2"/>
  </si>
  <si>
    <t>給与所得</t>
    <rPh sb="0" eb="4">
      <t>キュウヨショトク</t>
    </rPh>
    <phoneticPr fontId="2"/>
  </si>
  <si>
    <t>65歳
未満</t>
    <rPh sb="2" eb="3">
      <t>サイ</t>
    </rPh>
    <rPh sb="4" eb="6">
      <t>ミマン</t>
    </rPh>
    <phoneticPr fontId="2"/>
  </si>
  <si>
    <t>65歳
以上</t>
    <rPh sb="2" eb="3">
      <t>サイ</t>
    </rPh>
    <rPh sb="4" eb="6">
      <t>イジョウ</t>
    </rPh>
    <phoneticPr fontId="2"/>
  </si>
  <si>
    <t>←給与収入</t>
    <rPh sb="1" eb="3">
      <t>キュウヨ</t>
    </rPh>
    <rPh sb="3" eb="5">
      <t>シュウニュウ</t>
    </rPh>
    <phoneticPr fontId="2"/>
  </si>
  <si>
    <t>←年齢</t>
    <rPh sb="1" eb="3">
      <t>ネンレイ</t>
    </rPh>
    <phoneticPr fontId="2"/>
  </si>
  <si>
    <t>←年金収入</t>
    <rPh sb="1" eb="3">
      <t>ネンキン</t>
    </rPh>
    <rPh sb="3" eb="5">
      <t>シュウニュウ</t>
    </rPh>
    <phoneticPr fontId="2"/>
  </si>
  <si>
    <t>①加入</t>
    <rPh sb="1" eb="3">
      <t>カニュウ</t>
    </rPh>
    <phoneticPr fontId="2"/>
  </si>
  <si>
    <t>↓65歳以上は‐15万円</t>
    <rPh sb="3" eb="4">
      <t>サイ</t>
    </rPh>
    <rPh sb="4" eb="6">
      <t>イジョウ</t>
    </rPh>
    <rPh sb="10" eb="12">
      <t>マンエン</t>
    </rPh>
    <phoneticPr fontId="2"/>
  </si>
  <si>
    <t>～</t>
    <phoneticPr fontId="2"/>
  </si>
  <si>
    <t>年金収入</t>
    <rPh sb="0" eb="2">
      <t>ネンキン</t>
    </rPh>
    <rPh sb="2" eb="4">
      <t>シュウニュウ</t>
    </rPh>
    <phoneticPr fontId="2"/>
  </si>
  <si>
    <t>年間保険税額</t>
    <rPh sb="0" eb="2">
      <t>ネンカン</t>
    </rPh>
    <rPh sb="2" eb="4">
      <t>ホケン</t>
    </rPh>
    <rPh sb="4" eb="5">
      <t>ゼイ</t>
    </rPh>
    <rPh sb="5" eb="6">
      <t>ガク</t>
    </rPh>
    <phoneticPr fontId="2"/>
  </si>
  <si>
    <t>生年月日</t>
    <rPh sb="0" eb="2">
      <t>セイネン</t>
    </rPh>
    <rPh sb="2" eb="4">
      <t>ガッピ</t>
    </rPh>
    <phoneticPr fontId="2"/>
  </si>
  <si>
    <t>月</t>
    <rPh sb="0" eb="1">
      <t>ツキ</t>
    </rPh>
    <phoneticPr fontId="2"/>
  </si>
  <si>
    <t>日</t>
    <rPh sb="0" eb="1">
      <t>ニチ</t>
    </rPh>
    <phoneticPr fontId="2"/>
  </si>
  <si>
    <t>年齢
（1/1時点）</t>
    <rPh sb="0" eb="2">
      <t>ネンレイ</t>
    </rPh>
    <phoneticPr fontId="2"/>
  </si>
  <si>
    <t>税額</t>
    <rPh sb="0" eb="2">
      <t>ゼイガク</t>
    </rPh>
    <phoneticPr fontId="2"/>
  </si>
  <si>
    <t>区分</t>
    <rPh sb="0" eb="2">
      <t>クブン</t>
    </rPh>
    <phoneticPr fontId="2"/>
  </si>
  <si>
    <t>医療分</t>
    <rPh sb="0" eb="2">
      <t>イリョウ</t>
    </rPh>
    <rPh sb="2" eb="3">
      <t>ブン</t>
    </rPh>
    <phoneticPr fontId="2"/>
  </si>
  <si>
    <t>支援分</t>
    <rPh sb="0" eb="2">
      <t>シエン</t>
    </rPh>
    <rPh sb="2" eb="3">
      <t>ブン</t>
    </rPh>
    <phoneticPr fontId="2"/>
  </si>
  <si>
    <t>介護分</t>
    <rPh sb="0" eb="2">
      <t>カイゴ</t>
    </rPh>
    <rPh sb="2" eb="3">
      <t>ブン</t>
    </rPh>
    <phoneticPr fontId="2"/>
  </si>
  <si>
    <t>その他の所得</t>
    <rPh sb="2" eb="3">
      <t>タ</t>
    </rPh>
    <rPh sb="4" eb="6">
      <t>ショトク</t>
    </rPh>
    <phoneticPr fontId="2"/>
  </si>
  <si>
    <t>給与所得者等の数</t>
    <rPh sb="0" eb="2">
      <t>キュウヨ</t>
    </rPh>
    <rPh sb="2" eb="4">
      <t>ショトク</t>
    </rPh>
    <rPh sb="4" eb="5">
      <t>シャ</t>
    </rPh>
    <rPh sb="5" eb="6">
      <t>トウ</t>
    </rPh>
    <rPh sb="7" eb="8">
      <t>カズ</t>
    </rPh>
    <phoneticPr fontId="2"/>
  </si>
  <si>
    <t>控除額</t>
    <rPh sb="0" eb="2">
      <t>コウジョ</t>
    </rPh>
    <rPh sb="2" eb="3">
      <t>ガク</t>
    </rPh>
    <phoneticPr fontId="2"/>
  </si>
  <si>
    <t>年金所得計算表
（年金所得以外の合計所得1,000万円以下の場合）</t>
    <rPh sb="0" eb="2">
      <t>ネンキン</t>
    </rPh>
    <rPh sb="2" eb="4">
      <t>ショトク</t>
    </rPh>
    <rPh sb="4" eb="6">
      <t>ケイサン</t>
    </rPh>
    <rPh sb="6" eb="7">
      <t>ヒョウ</t>
    </rPh>
    <rPh sb="9" eb="11">
      <t>ネンキン</t>
    </rPh>
    <rPh sb="11" eb="13">
      <t>ショトク</t>
    </rPh>
    <rPh sb="13" eb="15">
      <t>イガイ</t>
    </rPh>
    <rPh sb="16" eb="18">
      <t>ゴウケイ</t>
    </rPh>
    <rPh sb="18" eb="20">
      <t>ショトク</t>
    </rPh>
    <rPh sb="25" eb="27">
      <t>マンエン</t>
    </rPh>
    <rPh sb="27" eb="29">
      <t>イカ</t>
    </rPh>
    <rPh sb="30" eb="32">
      <t>バアイ</t>
    </rPh>
    <phoneticPr fontId="2"/>
  </si>
  <si>
    <t>年金所得計算表
（年金所得以外の合計所得～2,000万円以下の場合）</t>
    <rPh sb="0" eb="2">
      <t>ネンキン</t>
    </rPh>
    <rPh sb="2" eb="4">
      <t>ショトク</t>
    </rPh>
    <rPh sb="4" eb="6">
      <t>ケイサン</t>
    </rPh>
    <rPh sb="6" eb="7">
      <t>ヒョウ</t>
    </rPh>
    <rPh sb="9" eb="11">
      <t>ネンキン</t>
    </rPh>
    <rPh sb="11" eb="13">
      <t>ショトク</t>
    </rPh>
    <rPh sb="13" eb="15">
      <t>イガイ</t>
    </rPh>
    <rPh sb="16" eb="18">
      <t>ゴウケイ</t>
    </rPh>
    <rPh sb="18" eb="20">
      <t>ショトク</t>
    </rPh>
    <rPh sb="26" eb="28">
      <t>マンエン</t>
    </rPh>
    <rPh sb="28" eb="30">
      <t>イカ</t>
    </rPh>
    <phoneticPr fontId="2"/>
  </si>
  <si>
    <t>年金所得計算表
（年金所得以外の合計所得20,000,001円以上の場合）</t>
    <rPh sb="0" eb="2">
      <t>ネンキン</t>
    </rPh>
    <rPh sb="2" eb="4">
      <t>ショトク</t>
    </rPh>
    <rPh sb="4" eb="6">
      <t>ケイサン</t>
    </rPh>
    <rPh sb="6" eb="7">
      <t>ヒョウ</t>
    </rPh>
    <rPh sb="9" eb="11">
      <t>ネンキン</t>
    </rPh>
    <rPh sb="11" eb="13">
      <t>ショトク</t>
    </rPh>
    <rPh sb="13" eb="15">
      <t>イガイ</t>
    </rPh>
    <rPh sb="16" eb="18">
      <t>ゴウケイ</t>
    </rPh>
    <rPh sb="18" eb="20">
      <t>ショトク</t>
    </rPh>
    <rPh sb="30" eb="31">
      <t>エン</t>
    </rPh>
    <rPh sb="31" eb="33">
      <t>イジョウ</t>
    </rPh>
    <phoneticPr fontId="2"/>
  </si>
  <si>
    <t>年金所得以外の合計所得</t>
    <phoneticPr fontId="2"/>
  </si>
  <si>
    <t>控除後</t>
    <rPh sb="0" eb="2">
      <t>コウジョ</t>
    </rPh>
    <rPh sb="2" eb="3">
      <t>ゴ</t>
    </rPh>
    <phoneticPr fontId="2"/>
  </si>
  <si>
    <t>年金所得</t>
    <phoneticPr fontId="2"/>
  </si>
  <si>
    <t>計</t>
    <rPh sb="0" eb="1">
      <t>ケイ</t>
    </rPh>
    <phoneticPr fontId="2"/>
  </si>
  <si>
    <t>元号</t>
    <rPh sb="0" eb="2">
      <t>ゲンゴウ</t>
    </rPh>
    <phoneticPr fontId="2"/>
  </si>
  <si>
    <t>年（西暦）</t>
    <rPh sb="0" eb="1">
      <t>ネン</t>
    </rPh>
    <rPh sb="2" eb="4">
      <t>セイレキ</t>
    </rPh>
    <phoneticPr fontId="2"/>
  </si>
  <si>
    <t>②生年月日</t>
    <rPh sb="1" eb="3">
      <t>セイネン</t>
    </rPh>
    <rPh sb="3" eb="5">
      <t>ガッピ</t>
    </rPh>
    <phoneticPr fontId="2"/>
  </si>
  <si>
    <t>★　入　力　例　☆</t>
    <rPh sb="2" eb="3">
      <t>ニュウ</t>
    </rPh>
    <rPh sb="4" eb="5">
      <t>チカラ</t>
    </rPh>
    <rPh sb="6" eb="7">
      <t>レイ</t>
    </rPh>
    <phoneticPr fontId="2"/>
  </si>
  <si>
    <t>試算結果（年税額）</t>
    <rPh sb="0" eb="2">
      <t>シサン</t>
    </rPh>
    <rPh sb="2" eb="4">
      <t>ケッカ</t>
    </rPh>
    <rPh sb="5" eb="8">
      <t>ネンゼイガク</t>
    </rPh>
    <phoneticPr fontId="2"/>
  </si>
  <si>
    <r>
      <t>③給与</t>
    </r>
    <r>
      <rPr>
        <b/>
        <sz val="12"/>
        <color rgb="FF0000FF"/>
        <rFont val="ＭＳ Ｐゴシック"/>
        <family val="3"/>
        <charset val="128"/>
        <scheme val="minor"/>
      </rPr>
      <t>収入</t>
    </r>
    <rPh sb="1" eb="3">
      <t>キュウヨ</t>
    </rPh>
    <rPh sb="3" eb="5">
      <t>シュウニュウ</t>
    </rPh>
    <phoneticPr fontId="2"/>
  </si>
  <si>
    <r>
      <t>④年金</t>
    </r>
    <r>
      <rPr>
        <b/>
        <sz val="12"/>
        <color rgb="FF0000FF"/>
        <rFont val="ＭＳ Ｐゴシック"/>
        <family val="3"/>
        <charset val="128"/>
        <scheme val="minor"/>
      </rPr>
      <t>収入</t>
    </r>
    <rPh sb="1" eb="3">
      <t>ネンキン</t>
    </rPh>
    <rPh sb="3" eb="5">
      <t>シュウニュウ</t>
    </rPh>
    <phoneticPr fontId="2"/>
  </si>
  <si>
    <t>色付きセルを入力してください</t>
    <rPh sb="0" eb="2">
      <t>イロツ</t>
    </rPh>
    <rPh sb="6" eb="8">
      <t>ニュウリョク</t>
    </rPh>
    <phoneticPr fontId="2"/>
  </si>
  <si>
    <t>■入力フォーム</t>
    <rPh sb="1" eb="3">
      <t>ニュウリョク</t>
    </rPh>
    <phoneticPr fontId="2"/>
  </si>
  <si>
    <t>ご利用にあたっての注意事項</t>
    <rPh sb="1" eb="3">
      <t>リヨウ</t>
    </rPh>
    <rPh sb="9" eb="11">
      <t>チュウイ</t>
    </rPh>
    <rPh sb="11" eb="13">
      <t>ジコウ</t>
    </rPh>
    <phoneticPr fontId="2"/>
  </si>
  <si>
    <t>入力日：</t>
    <rPh sb="0" eb="2">
      <t>ニュウリョク</t>
    </rPh>
    <rPh sb="2" eb="3">
      <t>ビ</t>
    </rPh>
    <phoneticPr fontId="2"/>
  </si>
  <si>
    <t>●未就学児減額</t>
    <rPh sb="1" eb="5">
      <t>ミシュウガクジ</t>
    </rPh>
    <rPh sb="5" eb="7">
      <t>ゲンガク</t>
    </rPh>
    <phoneticPr fontId="2"/>
  </si>
  <si>
    <t>未就学児
基準年月日</t>
    <rPh sb="0" eb="4">
      <t>ミシュウガクジ</t>
    </rPh>
    <rPh sb="5" eb="7">
      <t>キジュン</t>
    </rPh>
    <rPh sb="7" eb="10">
      <t>ネンガッピ</t>
    </rPh>
    <phoneticPr fontId="2"/>
  </si>
  <si>
    <t>左記基準現在
の年齢</t>
    <rPh sb="0" eb="2">
      <t>サキ</t>
    </rPh>
    <rPh sb="2" eb="4">
      <t>キジュン</t>
    </rPh>
    <rPh sb="4" eb="6">
      <t>ゲンザイ</t>
    </rPh>
    <rPh sb="8" eb="10">
      <t>ネンレイ</t>
    </rPh>
    <phoneticPr fontId="2"/>
  </si>
  <si>
    <t>未就学児
均等割軽減割合</t>
    <rPh sb="0" eb="4">
      <t>ミシュウガクジ</t>
    </rPh>
    <rPh sb="5" eb="8">
      <t>キントウワ</t>
    </rPh>
    <rPh sb="8" eb="10">
      <t>ケイゲン</t>
    </rPh>
    <rPh sb="10" eb="12">
      <t>ワリアイ</t>
    </rPh>
    <phoneticPr fontId="2"/>
  </si>
  <si>
    <r>
      <rPr>
        <sz val="11"/>
        <color theme="1"/>
        <rFont val="ＭＳ Ｐゴシック"/>
        <family val="3"/>
        <charset val="128"/>
        <scheme val="minor"/>
      </rPr>
      <t>⑤その他の</t>
    </r>
    <r>
      <rPr>
        <b/>
        <sz val="11"/>
        <color rgb="FFFF0000"/>
        <rFont val="ＭＳ Ｐゴシック"/>
        <family val="3"/>
        <charset val="128"/>
        <scheme val="minor"/>
      </rPr>
      <t>所得</t>
    </r>
    <r>
      <rPr>
        <sz val="12"/>
        <color theme="1"/>
        <rFont val="ＭＳ Ｐゴシック"/>
        <family val="2"/>
        <scheme val="minor"/>
      </rPr>
      <t xml:space="preserve">
</t>
    </r>
    <r>
      <rPr>
        <sz val="9"/>
        <color theme="1"/>
        <rFont val="ＭＳ Ｐゴシック"/>
        <family val="3"/>
        <charset val="128"/>
        <scheme val="minor"/>
      </rPr>
      <t>（営業所得、不動産譲渡所得など）
※マイナスの場合は正しく計算不可</t>
    </r>
    <rPh sb="3" eb="4">
      <t>タ</t>
    </rPh>
    <rPh sb="5" eb="7">
      <t>ショトク</t>
    </rPh>
    <rPh sb="9" eb="11">
      <t>エイギョウ</t>
    </rPh>
    <rPh sb="11" eb="13">
      <t>ショトク</t>
    </rPh>
    <rPh sb="14" eb="17">
      <t>フドウサン</t>
    </rPh>
    <rPh sb="17" eb="19">
      <t>ジョウト</t>
    </rPh>
    <rPh sb="19" eb="21">
      <t>ショトク</t>
    </rPh>
    <rPh sb="31" eb="33">
      <t>バアイ</t>
    </rPh>
    <rPh sb="34" eb="35">
      <t>タダ</t>
    </rPh>
    <rPh sb="37" eb="39">
      <t>ケイサン</t>
    </rPh>
    <rPh sb="39" eb="41">
      <t>フカ</t>
    </rPh>
    <phoneticPr fontId="2"/>
  </si>
  <si>
    <t>■試算結果</t>
    <rPh sb="1" eb="3">
      <t>シサン</t>
    </rPh>
    <rPh sb="3" eb="5">
      <t>ケッカ</t>
    </rPh>
    <phoneticPr fontId="2"/>
  </si>
  <si>
    <t>1922年</t>
    <rPh sb="4" eb="5">
      <t>ネン</t>
    </rPh>
    <phoneticPr fontId="2"/>
  </si>
  <si>
    <t>1923年</t>
    <rPh sb="4" eb="5">
      <t>ネン</t>
    </rPh>
    <phoneticPr fontId="2"/>
  </si>
  <si>
    <t>1924年</t>
    <rPh sb="4" eb="5">
      <t>ネン</t>
    </rPh>
    <phoneticPr fontId="2"/>
  </si>
  <si>
    <t>1925年</t>
    <rPh sb="4" eb="5">
      <t>ネン</t>
    </rPh>
    <phoneticPr fontId="2"/>
  </si>
  <si>
    <t>1926年</t>
    <rPh sb="4" eb="5">
      <t>ネン</t>
    </rPh>
    <phoneticPr fontId="2"/>
  </si>
  <si>
    <t>1927年</t>
    <rPh sb="4" eb="5">
      <t>ネン</t>
    </rPh>
    <phoneticPr fontId="2"/>
  </si>
  <si>
    <t>1928年</t>
    <rPh sb="4" eb="5">
      <t>ネン</t>
    </rPh>
    <phoneticPr fontId="2"/>
  </si>
  <si>
    <t>1929年</t>
    <rPh sb="4" eb="5">
      <t>ネン</t>
    </rPh>
    <phoneticPr fontId="2"/>
  </si>
  <si>
    <t>1930年</t>
    <rPh sb="4" eb="5">
      <t>ネン</t>
    </rPh>
    <phoneticPr fontId="2"/>
  </si>
  <si>
    <t>1931年</t>
    <rPh sb="4" eb="5">
      <t>ネン</t>
    </rPh>
    <phoneticPr fontId="2"/>
  </si>
  <si>
    <t>1932年</t>
    <rPh sb="4" eb="5">
      <t>ネン</t>
    </rPh>
    <phoneticPr fontId="2"/>
  </si>
  <si>
    <t>1933年</t>
    <rPh sb="4" eb="5">
      <t>ネン</t>
    </rPh>
    <phoneticPr fontId="2"/>
  </si>
  <si>
    <t>1934年</t>
    <rPh sb="4" eb="5">
      <t>ネン</t>
    </rPh>
    <phoneticPr fontId="2"/>
  </si>
  <si>
    <t>1935年</t>
    <rPh sb="4" eb="5">
      <t>ネン</t>
    </rPh>
    <phoneticPr fontId="2"/>
  </si>
  <si>
    <t>1936年</t>
    <rPh sb="4" eb="5">
      <t>ネン</t>
    </rPh>
    <phoneticPr fontId="2"/>
  </si>
  <si>
    <t>1937年</t>
    <rPh sb="4" eb="5">
      <t>ネン</t>
    </rPh>
    <phoneticPr fontId="2"/>
  </si>
  <si>
    <t>1938年</t>
    <rPh sb="4" eb="5">
      <t>ネン</t>
    </rPh>
    <phoneticPr fontId="2"/>
  </si>
  <si>
    <t>1939年</t>
    <rPh sb="4" eb="5">
      <t>ネン</t>
    </rPh>
    <phoneticPr fontId="2"/>
  </si>
  <si>
    <t>1940年</t>
    <rPh sb="4" eb="5">
      <t>ネン</t>
    </rPh>
    <phoneticPr fontId="2"/>
  </si>
  <si>
    <t>1941年</t>
    <rPh sb="4" eb="5">
      <t>ネン</t>
    </rPh>
    <phoneticPr fontId="2"/>
  </si>
  <si>
    <t>1942年</t>
    <rPh sb="4" eb="5">
      <t>ネン</t>
    </rPh>
    <phoneticPr fontId="2"/>
  </si>
  <si>
    <t>1943年</t>
    <rPh sb="4" eb="5">
      <t>ネン</t>
    </rPh>
    <phoneticPr fontId="2"/>
  </si>
  <si>
    <t>大正11年</t>
    <rPh sb="0" eb="2">
      <t>タイショウ</t>
    </rPh>
    <rPh sb="4" eb="5">
      <t>ネン</t>
    </rPh>
    <phoneticPr fontId="2"/>
  </si>
  <si>
    <t>大正12年</t>
    <rPh sb="0" eb="2">
      <t>タイショウ</t>
    </rPh>
    <rPh sb="4" eb="5">
      <t>ネン</t>
    </rPh>
    <phoneticPr fontId="2"/>
  </si>
  <si>
    <t>大正13年</t>
    <rPh sb="0" eb="2">
      <t>タイショウ</t>
    </rPh>
    <rPh sb="4" eb="5">
      <t>ネン</t>
    </rPh>
    <phoneticPr fontId="2"/>
  </si>
  <si>
    <t>大正14年</t>
    <rPh sb="0" eb="2">
      <t>タイショウ</t>
    </rPh>
    <rPh sb="4" eb="5">
      <t>ネン</t>
    </rPh>
    <phoneticPr fontId="2"/>
  </si>
  <si>
    <t>昭和2年</t>
    <rPh sb="0" eb="2">
      <t>ショウワ</t>
    </rPh>
    <rPh sb="3" eb="4">
      <t>ネン</t>
    </rPh>
    <phoneticPr fontId="2"/>
  </si>
  <si>
    <t>昭和3年</t>
    <rPh sb="0" eb="2">
      <t>ショウワ</t>
    </rPh>
    <rPh sb="3" eb="4">
      <t>ネン</t>
    </rPh>
    <phoneticPr fontId="2"/>
  </si>
  <si>
    <t>昭和4年</t>
    <rPh sb="0" eb="2">
      <t>ショウワ</t>
    </rPh>
    <rPh sb="3" eb="4">
      <t>ネン</t>
    </rPh>
    <phoneticPr fontId="2"/>
  </si>
  <si>
    <t>昭和5年</t>
    <rPh sb="0" eb="2">
      <t>ショウワ</t>
    </rPh>
    <rPh sb="3" eb="4">
      <t>ネン</t>
    </rPh>
    <phoneticPr fontId="2"/>
  </si>
  <si>
    <t>昭和6年</t>
    <rPh sb="0" eb="2">
      <t>ショウワ</t>
    </rPh>
    <rPh sb="3" eb="4">
      <t>ネン</t>
    </rPh>
    <phoneticPr fontId="2"/>
  </si>
  <si>
    <t>昭和7年</t>
    <rPh sb="0" eb="2">
      <t>ショウワ</t>
    </rPh>
    <rPh sb="3" eb="4">
      <t>ネン</t>
    </rPh>
    <phoneticPr fontId="2"/>
  </si>
  <si>
    <t>昭和8年</t>
    <rPh sb="0" eb="2">
      <t>ショウワ</t>
    </rPh>
    <rPh sb="3" eb="4">
      <t>ネン</t>
    </rPh>
    <phoneticPr fontId="2"/>
  </si>
  <si>
    <t>昭和9年</t>
    <rPh sb="0" eb="2">
      <t>ショウワ</t>
    </rPh>
    <rPh sb="3" eb="4">
      <t>ネン</t>
    </rPh>
    <phoneticPr fontId="2"/>
  </si>
  <si>
    <t>昭和10年</t>
    <rPh sb="0" eb="2">
      <t>ショウワ</t>
    </rPh>
    <rPh sb="4" eb="5">
      <t>ネン</t>
    </rPh>
    <phoneticPr fontId="2"/>
  </si>
  <si>
    <t>昭和11年</t>
    <rPh sb="0" eb="2">
      <t>ショウワ</t>
    </rPh>
    <rPh sb="4" eb="5">
      <t>ネン</t>
    </rPh>
    <phoneticPr fontId="2"/>
  </si>
  <si>
    <t>昭和12年</t>
    <rPh sb="0" eb="2">
      <t>ショウワ</t>
    </rPh>
    <rPh sb="4" eb="5">
      <t>ネン</t>
    </rPh>
    <phoneticPr fontId="2"/>
  </si>
  <si>
    <t>昭和13年</t>
    <rPh sb="0" eb="2">
      <t>ショウワ</t>
    </rPh>
    <rPh sb="4" eb="5">
      <t>ネン</t>
    </rPh>
    <phoneticPr fontId="2"/>
  </si>
  <si>
    <t>昭和14年</t>
    <rPh sb="0" eb="2">
      <t>ショウワ</t>
    </rPh>
    <rPh sb="4" eb="5">
      <t>ネン</t>
    </rPh>
    <phoneticPr fontId="2"/>
  </si>
  <si>
    <t>昭和15年</t>
    <rPh sb="0" eb="2">
      <t>ショウワ</t>
    </rPh>
    <rPh sb="4" eb="5">
      <t>ネン</t>
    </rPh>
    <phoneticPr fontId="2"/>
  </si>
  <si>
    <t>昭和16年</t>
    <rPh sb="0" eb="2">
      <t>ショウワ</t>
    </rPh>
    <rPh sb="4" eb="5">
      <t>ネン</t>
    </rPh>
    <phoneticPr fontId="2"/>
  </si>
  <si>
    <t>昭和17年</t>
    <rPh sb="0" eb="2">
      <t>ショウワ</t>
    </rPh>
    <rPh sb="4" eb="5">
      <t>ネン</t>
    </rPh>
    <phoneticPr fontId="2"/>
  </si>
  <si>
    <t>昭和18年</t>
    <rPh sb="0" eb="2">
      <t>ショウワ</t>
    </rPh>
    <rPh sb="4" eb="5">
      <t>ネン</t>
    </rPh>
    <phoneticPr fontId="2"/>
  </si>
  <si>
    <t>1944年</t>
    <rPh sb="4" eb="5">
      <t>ネン</t>
    </rPh>
    <phoneticPr fontId="2"/>
  </si>
  <si>
    <t>1945年</t>
    <rPh sb="4" eb="5">
      <t>ネン</t>
    </rPh>
    <phoneticPr fontId="2"/>
  </si>
  <si>
    <t>1946年</t>
    <rPh sb="4" eb="5">
      <t>ネン</t>
    </rPh>
    <phoneticPr fontId="2"/>
  </si>
  <si>
    <t>1947年</t>
    <rPh sb="4" eb="5">
      <t>ネン</t>
    </rPh>
    <phoneticPr fontId="2"/>
  </si>
  <si>
    <t>1948年</t>
    <rPh sb="4" eb="5">
      <t>ネン</t>
    </rPh>
    <phoneticPr fontId="2"/>
  </si>
  <si>
    <t>1949年</t>
    <rPh sb="4" eb="5">
      <t>ネン</t>
    </rPh>
    <phoneticPr fontId="2"/>
  </si>
  <si>
    <t>1950年</t>
    <rPh sb="4" eb="5">
      <t>ネン</t>
    </rPh>
    <phoneticPr fontId="2"/>
  </si>
  <si>
    <t>1951年</t>
    <rPh sb="4" eb="5">
      <t>ネン</t>
    </rPh>
    <phoneticPr fontId="2"/>
  </si>
  <si>
    <t>1952年</t>
    <rPh sb="4" eb="5">
      <t>ネン</t>
    </rPh>
    <phoneticPr fontId="2"/>
  </si>
  <si>
    <t>1953年</t>
    <rPh sb="4" eb="5">
      <t>ネン</t>
    </rPh>
    <phoneticPr fontId="2"/>
  </si>
  <si>
    <t>1954年</t>
    <rPh sb="4" eb="5">
      <t>ネン</t>
    </rPh>
    <phoneticPr fontId="2"/>
  </si>
  <si>
    <t>1955年</t>
    <rPh sb="4" eb="5">
      <t>ネン</t>
    </rPh>
    <phoneticPr fontId="2"/>
  </si>
  <si>
    <t>1956年</t>
    <rPh sb="4" eb="5">
      <t>ネン</t>
    </rPh>
    <phoneticPr fontId="2"/>
  </si>
  <si>
    <t>1957年</t>
    <rPh sb="4" eb="5">
      <t>ネン</t>
    </rPh>
    <phoneticPr fontId="2"/>
  </si>
  <si>
    <t>1958年</t>
    <rPh sb="4" eb="5">
      <t>ネン</t>
    </rPh>
    <phoneticPr fontId="2"/>
  </si>
  <si>
    <t>1959年</t>
    <rPh sb="4" eb="5">
      <t>ネン</t>
    </rPh>
    <phoneticPr fontId="2"/>
  </si>
  <si>
    <t>昭和19年</t>
    <rPh sb="0" eb="2">
      <t>ショウワ</t>
    </rPh>
    <rPh sb="4" eb="5">
      <t>ネン</t>
    </rPh>
    <phoneticPr fontId="2"/>
  </si>
  <si>
    <t>昭和20年</t>
    <rPh sb="0" eb="2">
      <t>ショウワ</t>
    </rPh>
    <rPh sb="4" eb="5">
      <t>ネン</t>
    </rPh>
    <phoneticPr fontId="2"/>
  </si>
  <si>
    <t>昭和21年</t>
    <rPh sb="0" eb="2">
      <t>ショウワ</t>
    </rPh>
    <rPh sb="4" eb="5">
      <t>ネン</t>
    </rPh>
    <phoneticPr fontId="2"/>
  </si>
  <si>
    <t>昭和22年</t>
    <rPh sb="0" eb="2">
      <t>ショウワ</t>
    </rPh>
    <rPh sb="4" eb="5">
      <t>ネン</t>
    </rPh>
    <phoneticPr fontId="2"/>
  </si>
  <si>
    <t>昭和23年</t>
    <rPh sb="0" eb="2">
      <t>ショウワ</t>
    </rPh>
    <rPh sb="4" eb="5">
      <t>ネン</t>
    </rPh>
    <phoneticPr fontId="2"/>
  </si>
  <si>
    <t>昭和24年</t>
    <rPh sb="0" eb="2">
      <t>ショウワ</t>
    </rPh>
    <rPh sb="4" eb="5">
      <t>ネン</t>
    </rPh>
    <phoneticPr fontId="2"/>
  </si>
  <si>
    <t>昭和25年</t>
    <rPh sb="0" eb="2">
      <t>ショウワ</t>
    </rPh>
    <rPh sb="4" eb="5">
      <t>ネン</t>
    </rPh>
    <phoneticPr fontId="2"/>
  </si>
  <si>
    <t>昭和26年</t>
    <rPh sb="0" eb="2">
      <t>ショウワ</t>
    </rPh>
    <rPh sb="4" eb="5">
      <t>ネン</t>
    </rPh>
    <phoneticPr fontId="2"/>
  </si>
  <si>
    <t>昭和27年</t>
    <rPh sb="0" eb="2">
      <t>ショウワ</t>
    </rPh>
    <rPh sb="4" eb="5">
      <t>ネン</t>
    </rPh>
    <phoneticPr fontId="2"/>
  </si>
  <si>
    <t>昭和28年</t>
    <rPh sb="0" eb="2">
      <t>ショウワ</t>
    </rPh>
    <rPh sb="4" eb="5">
      <t>ネン</t>
    </rPh>
    <phoneticPr fontId="2"/>
  </si>
  <si>
    <t>昭和29年</t>
    <rPh sb="0" eb="2">
      <t>ショウワ</t>
    </rPh>
    <rPh sb="4" eb="5">
      <t>ネン</t>
    </rPh>
    <phoneticPr fontId="2"/>
  </si>
  <si>
    <t>昭和30年</t>
    <rPh sb="0" eb="2">
      <t>ショウワ</t>
    </rPh>
    <rPh sb="4" eb="5">
      <t>ネン</t>
    </rPh>
    <phoneticPr fontId="2"/>
  </si>
  <si>
    <t>昭和31年</t>
    <rPh sb="0" eb="2">
      <t>ショウワ</t>
    </rPh>
    <rPh sb="4" eb="5">
      <t>ネン</t>
    </rPh>
    <phoneticPr fontId="2"/>
  </si>
  <si>
    <t>昭和32年</t>
    <rPh sb="0" eb="2">
      <t>ショウワ</t>
    </rPh>
    <rPh sb="4" eb="5">
      <t>ネン</t>
    </rPh>
    <phoneticPr fontId="2"/>
  </si>
  <si>
    <t>昭和33年</t>
    <rPh sb="0" eb="2">
      <t>ショウワ</t>
    </rPh>
    <rPh sb="4" eb="5">
      <t>ネン</t>
    </rPh>
    <phoneticPr fontId="2"/>
  </si>
  <si>
    <t>昭和34年</t>
    <rPh sb="0" eb="2">
      <t>ショウワ</t>
    </rPh>
    <rPh sb="4" eb="5">
      <t>ネン</t>
    </rPh>
    <phoneticPr fontId="2"/>
  </si>
  <si>
    <t>1960年</t>
    <rPh sb="4" eb="5">
      <t>ネン</t>
    </rPh>
    <phoneticPr fontId="2"/>
  </si>
  <si>
    <t>昭和35年</t>
    <rPh sb="0" eb="2">
      <t>ショウワ</t>
    </rPh>
    <rPh sb="4" eb="5">
      <t>ネン</t>
    </rPh>
    <phoneticPr fontId="2"/>
  </si>
  <si>
    <t>1961年</t>
    <rPh sb="4" eb="5">
      <t>ネン</t>
    </rPh>
    <phoneticPr fontId="2"/>
  </si>
  <si>
    <t>1962年</t>
    <rPh sb="4" eb="5">
      <t>ネン</t>
    </rPh>
    <phoneticPr fontId="2"/>
  </si>
  <si>
    <t>1963年</t>
    <rPh sb="4" eb="5">
      <t>ネン</t>
    </rPh>
    <phoneticPr fontId="2"/>
  </si>
  <si>
    <t>1964年</t>
    <rPh sb="4" eb="5">
      <t>ネン</t>
    </rPh>
    <phoneticPr fontId="2"/>
  </si>
  <si>
    <t>1965年</t>
    <rPh sb="4" eb="5">
      <t>ネン</t>
    </rPh>
    <phoneticPr fontId="2"/>
  </si>
  <si>
    <t>1966年</t>
    <rPh sb="4" eb="5">
      <t>ネン</t>
    </rPh>
    <phoneticPr fontId="2"/>
  </si>
  <si>
    <t>1967年</t>
    <rPh sb="4" eb="5">
      <t>ネン</t>
    </rPh>
    <phoneticPr fontId="2"/>
  </si>
  <si>
    <t>1968年</t>
    <rPh sb="4" eb="5">
      <t>ネン</t>
    </rPh>
    <phoneticPr fontId="2"/>
  </si>
  <si>
    <t>1969年</t>
    <rPh sb="4" eb="5">
      <t>ネン</t>
    </rPh>
    <phoneticPr fontId="2"/>
  </si>
  <si>
    <t>1970年</t>
    <rPh sb="4" eb="5">
      <t>ネン</t>
    </rPh>
    <phoneticPr fontId="2"/>
  </si>
  <si>
    <t>1971年</t>
    <rPh sb="4" eb="5">
      <t>ネン</t>
    </rPh>
    <phoneticPr fontId="2"/>
  </si>
  <si>
    <t>1972年</t>
    <rPh sb="4" eb="5">
      <t>ネン</t>
    </rPh>
    <phoneticPr fontId="2"/>
  </si>
  <si>
    <t>1973年</t>
    <rPh sb="4" eb="5">
      <t>ネン</t>
    </rPh>
    <phoneticPr fontId="2"/>
  </si>
  <si>
    <t>1974年</t>
    <rPh sb="4" eb="5">
      <t>ネン</t>
    </rPh>
    <phoneticPr fontId="2"/>
  </si>
  <si>
    <t>1975年</t>
    <rPh sb="4" eb="5">
      <t>ネン</t>
    </rPh>
    <phoneticPr fontId="2"/>
  </si>
  <si>
    <t>1976年</t>
    <rPh sb="4" eb="5">
      <t>ネン</t>
    </rPh>
    <phoneticPr fontId="2"/>
  </si>
  <si>
    <t>1977年</t>
    <rPh sb="4" eb="5">
      <t>ネン</t>
    </rPh>
    <phoneticPr fontId="2"/>
  </si>
  <si>
    <t>1978年</t>
    <rPh sb="4" eb="5">
      <t>ネン</t>
    </rPh>
    <phoneticPr fontId="2"/>
  </si>
  <si>
    <t>昭和36年</t>
    <rPh sb="0" eb="2">
      <t>ショウワ</t>
    </rPh>
    <rPh sb="4" eb="5">
      <t>ネン</t>
    </rPh>
    <phoneticPr fontId="2"/>
  </si>
  <si>
    <t>昭和37年</t>
    <rPh sb="0" eb="2">
      <t>ショウワ</t>
    </rPh>
    <rPh sb="4" eb="5">
      <t>ネン</t>
    </rPh>
    <phoneticPr fontId="2"/>
  </si>
  <si>
    <t>昭和38年</t>
    <rPh sb="0" eb="2">
      <t>ショウワ</t>
    </rPh>
    <rPh sb="4" eb="5">
      <t>ネン</t>
    </rPh>
    <phoneticPr fontId="2"/>
  </si>
  <si>
    <t>昭和39年</t>
    <rPh sb="0" eb="2">
      <t>ショウワ</t>
    </rPh>
    <rPh sb="4" eb="5">
      <t>ネン</t>
    </rPh>
    <phoneticPr fontId="2"/>
  </si>
  <si>
    <t>昭和40年</t>
    <rPh sb="0" eb="2">
      <t>ショウワ</t>
    </rPh>
    <rPh sb="4" eb="5">
      <t>ネン</t>
    </rPh>
    <phoneticPr fontId="2"/>
  </si>
  <si>
    <t>昭和41年</t>
    <rPh sb="0" eb="2">
      <t>ショウワ</t>
    </rPh>
    <rPh sb="4" eb="5">
      <t>ネン</t>
    </rPh>
    <phoneticPr fontId="2"/>
  </si>
  <si>
    <t>昭和42年</t>
    <rPh sb="0" eb="2">
      <t>ショウワ</t>
    </rPh>
    <rPh sb="4" eb="5">
      <t>ネン</t>
    </rPh>
    <phoneticPr fontId="2"/>
  </si>
  <si>
    <t>昭和43年</t>
    <rPh sb="0" eb="2">
      <t>ショウワ</t>
    </rPh>
    <rPh sb="4" eb="5">
      <t>ネン</t>
    </rPh>
    <phoneticPr fontId="2"/>
  </si>
  <si>
    <t>昭和44年</t>
    <rPh sb="0" eb="2">
      <t>ショウワ</t>
    </rPh>
    <rPh sb="4" eb="5">
      <t>ネン</t>
    </rPh>
    <phoneticPr fontId="2"/>
  </si>
  <si>
    <t>昭和45年</t>
    <rPh sb="0" eb="2">
      <t>ショウワ</t>
    </rPh>
    <rPh sb="4" eb="5">
      <t>ネン</t>
    </rPh>
    <phoneticPr fontId="2"/>
  </si>
  <si>
    <t>昭和46年</t>
    <rPh sb="0" eb="2">
      <t>ショウワ</t>
    </rPh>
    <rPh sb="4" eb="5">
      <t>ネン</t>
    </rPh>
    <phoneticPr fontId="2"/>
  </si>
  <si>
    <t>昭和47年</t>
    <rPh sb="0" eb="2">
      <t>ショウワ</t>
    </rPh>
    <rPh sb="4" eb="5">
      <t>ネン</t>
    </rPh>
    <phoneticPr fontId="2"/>
  </si>
  <si>
    <t>昭和48年</t>
    <rPh sb="0" eb="2">
      <t>ショウワ</t>
    </rPh>
    <rPh sb="4" eb="5">
      <t>ネン</t>
    </rPh>
    <phoneticPr fontId="2"/>
  </si>
  <si>
    <t>昭和49年</t>
    <rPh sb="0" eb="2">
      <t>ショウワ</t>
    </rPh>
    <rPh sb="4" eb="5">
      <t>ネン</t>
    </rPh>
    <phoneticPr fontId="2"/>
  </si>
  <si>
    <t>昭和50年</t>
    <rPh sb="0" eb="2">
      <t>ショウワ</t>
    </rPh>
    <rPh sb="4" eb="5">
      <t>ネン</t>
    </rPh>
    <phoneticPr fontId="2"/>
  </si>
  <si>
    <t>昭和51年</t>
    <rPh sb="0" eb="2">
      <t>ショウワ</t>
    </rPh>
    <rPh sb="4" eb="5">
      <t>ネン</t>
    </rPh>
    <phoneticPr fontId="2"/>
  </si>
  <si>
    <t>昭和52年</t>
    <rPh sb="0" eb="2">
      <t>ショウワ</t>
    </rPh>
    <rPh sb="4" eb="5">
      <t>ネン</t>
    </rPh>
    <phoneticPr fontId="2"/>
  </si>
  <si>
    <t>昭和53年</t>
    <rPh sb="0" eb="2">
      <t>ショウワ</t>
    </rPh>
    <rPh sb="4" eb="5">
      <t>ネン</t>
    </rPh>
    <phoneticPr fontId="2"/>
  </si>
  <si>
    <t>1979年</t>
    <rPh sb="4" eb="5">
      <t>ネン</t>
    </rPh>
    <phoneticPr fontId="2"/>
  </si>
  <si>
    <t>昭和54年</t>
    <rPh sb="0" eb="2">
      <t>ショウワ</t>
    </rPh>
    <rPh sb="4" eb="5">
      <t>ネン</t>
    </rPh>
    <phoneticPr fontId="2"/>
  </si>
  <si>
    <t>1980年</t>
    <rPh sb="4" eb="5">
      <t>ネン</t>
    </rPh>
    <phoneticPr fontId="2"/>
  </si>
  <si>
    <t>1981年</t>
    <rPh sb="4" eb="5">
      <t>ネン</t>
    </rPh>
    <phoneticPr fontId="2"/>
  </si>
  <si>
    <t>1982年</t>
    <rPh sb="4" eb="5">
      <t>ネン</t>
    </rPh>
    <phoneticPr fontId="2"/>
  </si>
  <si>
    <t>1983年</t>
    <rPh sb="4" eb="5">
      <t>ネン</t>
    </rPh>
    <phoneticPr fontId="2"/>
  </si>
  <si>
    <t>1984年</t>
    <rPh sb="4" eb="5">
      <t>ネン</t>
    </rPh>
    <phoneticPr fontId="2"/>
  </si>
  <si>
    <t>1985年</t>
    <rPh sb="4" eb="5">
      <t>ネン</t>
    </rPh>
    <phoneticPr fontId="2"/>
  </si>
  <si>
    <t>1986年</t>
    <rPh sb="4" eb="5">
      <t>ネン</t>
    </rPh>
    <phoneticPr fontId="2"/>
  </si>
  <si>
    <t>1987年</t>
    <rPh sb="4" eb="5">
      <t>ネン</t>
    </rPh>
    <phoneticPr fontId="2"/>
  </si>
  <si>
    <t>1988年</t>
    <rPh sb="4" eb="5">
      <t>ネン</t>
    </rPh>
    <phoneticPr fontId="2"/>
  </si>
  <si>
    <t>1989年</t>
    <rPh sb="4" eb="5">
      <t>ネン</t>
    </rPh>
    <phoneticPr fontId="2"/>
  </si>
  <si>
    <t>1990年</t>
    <rPh sb="4" eb="5">
      <t>ネン</t>
    </rPh>
    <phoneticPr fontId="2"/>
  </si>
  <si>
    <t>1991年</t>
    <rPh sb="4" eb="5">
      <t>ネン</t>
    </rPh>
    <phoneticPr fontId="2"/>
  </si>
  <si>
    <t>1992年</t>
    <rPh sb="4" eb="5">
      <t>ネン</t>
    </rPh>
    <phoneticPr fontId="2"/>
  </si>
  <si>
    <t>1993年</t>
    <rPh sb="4" eb="5">
      <t>ネン</t>
    </rPh>
    <phoneticPr fontId="2"/>
  </si>
  <si>
    <t>1994年</t>
    <rPh sb="4" eb="5">
      <t>ネン</t>
    </rPh>
    <phoneticPr fontId="2"/>
  </si>
  <si>
    <t>1995年</t>
    <rPh sb="4" eb="5">
      <t>ネン</t>
    </rPh>
    <phoneticPr fontId="2"/>
  </si>
  <si>
    <t>1996年</t>
    <rPh sb="4" eb="5">
      <t>ネン</t>
    </rPh>
    <phoneticPr fontId="2"/>
  </si>
  <si>
    <t>1997年</t>
    <rPh sb="4" eb="5">
      <t>ネン</t>
    </rPh>
    <phoneticPr fontId="2"/>
  </si>
  <si>
    <t>昭和55年</t>
    <rPh sb="0" eb="2">
      <t>ショウワ</t>
    </rPh>
    <rPh sb="4" eb="5">
      <t>ネン</t>
    </rPh>
    <phoneticPr fontId="2"/>
  </si>
  <si>
    <t>昭和56年</t>
    <rPh sb="0" eb="2">
      <t>ショウワ</t>
    </rPh>
    <rPh sb="4" eb="5">
      <t>ネン</t>
    </rPh>
    <phoneticPr fontId="2"/>
  </si>
  <si>
    <t>昭和57年</t>
    <rPh sb="0" eb="2">
      <t>ショウワ</t>
    </rPh>
    <rPh sb="4" eb="5">
      <t>ネン</t>
    </rPh>
    <phoneticPr fontId="2"/>
  </si>
  <si>
    <t>昭和58年</t>
    <rPh sb="0" eb="2">
      <t>ショウワ</t>
    </rPh>
    <rPh sb="4" eb="5">
      <t>ネン</t>
    </rPh>
    <phoneticPr fontId="2"/>
  </si>
  <si>
    <t>昭和59年</t>
    <rPh sb="0" eb="2">
      <t>ショウワ</t>
    </rPh>
    <rPh sb="4" eb="5">
      <t>ネン</t>
    </rPh>
    <phoneticPr fontId="2"/>
  </si>
  <si>
    <t>昭和60年</t>
    <rPh sb="0" eb="2">
      <t>ショウワ</t>
    </rPh>
    <rPh sb="4" eb="5">
      <t>ネン</t>
    </rPh>
    <phoneticPr fontId="2"/>
  </si>
  <si>
    <t>昭和61年</t>
    <rPh sb="0" eb="2">
      <t>ショウワ</t>
    </rPh>
    <rPh sb="4" eb="5">
      <t>ネン</t>
    </rPh>
    <phoneticPr fontId="2"/>
  </si>
  <si>
    <t>昭和62年</t>
    <rPh sb="0" eb="2">
      <t>ショウワ</t>
    </rPh>
    <rPh sb="4" eb="5">
      <t>ネン</t>
    </rPh>
    <phoneticPr fontId="2"/>
  </si>
  <si>
    <t>昭和63年</t>
    <rPh sb="0" eb="2">
      <t>ショウワ</t>
    </rPh>
    <rPh sb="4" eb="5">
      <t>ネン</t>
    </rPh>
    <phoneticPr fontId="2"/>
  </si>
  <si>
    <t>平成2年</t>
    <rPh sb="0" eb="2">
      <t>ヘイセイ</t>
    </rPh>
    <rPh sb="3" eb="4">
      <t>ネン</t>
    </rPh>
    <phoneticPr fontId="2"/>
  </si>
  <si>
    <t>平成3年</t>
    <rPh sb="0" eb="2">
      <t>ヘイセイ</t>
    </rPh>
    <rPh sb="3" eb="4">
      <t>ネン</t>
    </rPh>
    <phoneticPr fontId="2"/>
  </si>
  <si>
    <t>平成4年</t>
    <rPh sb="0" eb="2">
      <t>ヘイセイ</t>
    </rPh>
    <rPh sb="3" eb="4">
      <t>ネン</t>
    </rPh>
    <phoneticPr fontId="2"/>
  </si>
  <si>
    <t>平成5年</t>
    <rPh sb="0" eb="2">
      <t>ヘイセイ</t>
    </rPh>
    <rPh sb="3" eb="4">
      <t>ネン</t>
    </rPh>
    <phoneticPr fontId="2"/>
  </si>
  <si>
    <t>平成6年</t>
    <rPh sb="0" eb="2">
      <t>ヘイセイ</t>
    </rPh>
    <rPh sb="3" eb="4">
      <t>ネン</t>
    </rPh>
    <phoneticPr fontId="2"/>
  </si>
  <si>
    <t>平成7年</t>
    <rPh sb="0" eb="2">
      <t>ヘイセイ</t>
    </rPh>
    <rPh sb="3" eb="4">
      <t>ネン</t>
    </rPh>
    <phoneticPr fontId="2"/>
  </si>
  <si>
    <t>平成8年</t>
    <rPh sb="0" eb="2">
      <t>ヘイセイ</t>
    </rPh>
    <rPh sb="3" eb="4">
      <t>ネン</t>
    </rPh>
    <phoneticPr fontId="2"/>
  </si>
  <si>
    <t>平成9年</t>
    <rPh sb="0" eb="2">
      <t>ヘイセイ</t>
    </rPh>
    <rPh sb="3" eb="4">
      <t>ネン</t>
    </rPh>
    <phoneticPr fontId="2"/>
  </si>
  <si>
    <t>1998年</t>
    <rPh sb="4" eb="5">
      <t>ネン</t>
    </rPh>
    <phoneticPr fontId="2"/>
  </si>
  <si>
    <t>平成10年</t>
    <rPh sb="0" eb="2">
      <t>ヘイセイ</t>
    </rPh>
    <rPh sb="4" eb="5">
      <t>ネン</t>
    </rPh>
    <phoneticPr fontId="2"/>
  </si>
  <si>
    <t>1999年</t>
    <rPh sb="4" eb="5">
      <t>ネン</t>
    </rPh>
    <phoneticPr fontId="2"/>
  </si>
  <si>
    <t>2000年</t>
    <rPh sb="4" eb="5">
      <t>ネン</t>
    </rPh>
    <phoneticPr fontId="2"/>
  </si>
  <si>
    <t>2001年</t>
    <rPh sb="4" eb="5">
      <t>ネン</t>
    </rPh>
    <phoneticPr fontId="2"/>
  </si>
  <si>
    <t>2002年</t>
    <rPh sb="4" eb="5">
      <t>ネン</t>
    </rPh>
    <phoneticPr fontId="2"/>
  </si>
  <si>
    <t>2003年</t>
    <rPh sb="4" eb="5">
      <t>ネン</t>
    </rPh>
    <phoneticPr fontId="2"/>
  </si>
  <si>
    <t>2004年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</si>
  <si>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</si>
  <si>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</si>
  <si>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</si>
  <si>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</si>
  <si>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</si>
  <si>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</si>
  <si>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2011年</t>
    <rPh sb="4" eb="5">
      <t>ネン</t>
    </rPh>
    <phoneticPr fontId="2"/>
  </si>
  <si>
    <t>2012年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</si>
  <si>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</si>
  <si>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</si>
  <si>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</si>
  <si>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</si>
  <si>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平成11年</t>
    <rPh sb="0" eb="2">
      <t>ヘイセイ</t>
    </rPh>
    <rPh sb="4" eb="5">
      <t>ネン</t>
    </rPh>
    <phoneticPr fontId="2"/>
  </si>
  <si>
    <t>平成12年</t>
    <rPh sb="0" eb="2">
      <t>ヘイセイ</t>
    </rPh>
    <rPh sb="4" eb="5">
      <t>ネン</t>
    </rPh>
    <phoneticPr fontId="2"/>
  </si>
  <si>
    <t>平成13年</t>
    <rPh sb="0" eb="2">
      <t>ヘイセイ</t>
    </rPh>
    <rPh sb="4" eb="5">
      <t>ネン</t>
    </rPh>
    <phoneticPr fontId="2"/>
  </si>
  <si>
    <t>平成14年</t>
    <rPh sb="0" eb="2">
      <t>ヘイセイ</t>
    </rPh>
    <rPh sb="4" eb="5">
      <t>ネン</t>
    </rPh>
    <phoneticPr fontId="2"/>
  </si>
  <si>
    <t>平成15年</t>
    <rPh sb="0" eb="2">
      <t>ヘイセイ</t>
    </rPh>
    <rPh sb="4" eb="5">
      <t>ネン</t>
    </rPh>
    <phoneticPr fontId="2"/>
  </si>
  <si>
    <t>平成16年</t>
    <rPh sb="0" eb="2">
      <t>ヘイセイ</t>
    </rPh>
    <rPh sb="4" eb="5">
      <t>ネン</t>
    </rPh>
    <phoneticPr fontId="2"/>
  </si>
  <si>
    <t>平成17年</t>
    <rPh sb="0" eb="2">
      <t>ヘイセイ</t>
    </rPh>
    <rPh sb="4" eb="5">
      <t>ネン</t>
    </rPh>
    <phoneticPr fontId="2"/>
  </si>
  <si>
    <t>平成18年</t>
    <rPh sb="0" eb="2">
      <t>ヘイセイ</t>
    </rPh>
    <rPh sb="4" eb="5">
      <t>ネン</t>
    </rPh>
    <phoneticPr fontId="2"/>
  </si>
  <si>
    <t>平成19年</t>
    <rPh sb="0" eb="2">
      <t>ヘイセイ</t>
    </rPh>
    <rPh sb="4" eb="5">
      <t>ネン</t>
    </rPh>
    <phoneticPr fontId="2"/>
  </si>
  <si>
    <t>平成20年</t>
    <rPh sb="0" eb="2">
      <t>ヘイセイ</t>
    </rPh>
    <rPh sb="4" eb="5">
      <t>ネン</t>
    </rPh>
    <phoneticPr fontId="2"/>
  </si>
  <si>
    <t>平成21年</t>
    <rPh sb="0" eb="2">
      <t>ヘイセイ</t>
    </rPh>
    <rPh sb="4" eb="5">
      <t>ネン</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</si>
  <si>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</si>
  <si>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</si>
  <si>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</si>
  <si>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</si>
  <si>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</si>
  <si>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</si>
  <si>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平成28年</t>
    <rPh sb="0" eb="2">
      <t>ヘイセイ</t>
    </rPh>
    <rPh sb="4" eb="5">
      <t>ネン</t>
    </rPh>
    <phoneticPr fontId="2"/>
  </si>
  <si>
    <t>2017年</t>
    <rPh sb="4" eb="5">
      <t>ネン</t>
    </rPh>
    <phoneticPr fontId="2"/>
  </si>
  <si>
    <t>平成29年</t>
    <rPh sb="0" eb="2">
      <t>ヘイセイ</t>
    </rPh>
    <rPh sb="4" eb="5">
      <t>ネン</t>
    </rPh>
    <phoneticPr fontId="2"/>
  </si>
  <si>
    <t>2018年</t>
    <rPh sb="4" eb="5">
      <t>ネン</t>
    </rPh>
    <phoneticPr fontId="2"/>
  </si>
  <si>
    <t>2019年</t>
    <rPh sb="4" eb="5">
      <t>ネン</t>
    </rPh>
    <phoneticPr fontId="2"/>
  </si>
  <si>
    <t>2020年</t>
    <rPh sb="4" eb="5">
      <t>ネン</t>
    </rPh>
    <phoneticPr fontId="2"/>
  </si>
  <si>
    <t>2021年</t>
    <rPh sb="4" eb="5">
      <t>ネン</t>
    </rPh>
    <phoneticPr fontId="2"/>
  </si>
  <si>
    <t>2022年</t>
    <rPh sb="4" eb="5">
      <t>ネン</t>
    </rPh>
    <phoneticPr fontId="2"/>
  </si>
  <si>
    <t>平成30年</t>
    <rPh sb="0" eb="2">
      <t>ヘイセイ</t>
    </rPh>
    <rPh sb="4" eb="5">
      <t>ネン</t>
    </rPh>
    <phoneticPr fontId="2"/>
  </si>
  <si>
    <t>令和2年</t>
    <rPh sb="0" eb="2">
      <t>レイワ</t>
    </rPh>
    <rPh sb="3" eb="4">
      <t>ネン</t>
    </rPh>
    <phoneticPr fontId="2"/>
  </si>
  <si>
    <t>令和3年</t>
    <rPh sb="0" eb="2">
      <t>レイワ</t>
    </rPh>
    <rPh sb="3" eb="4">
      <t>ネン</t>
    </rPh>
    <phoneticPr fontId="2"/>
  </si>
  <si>
    <t>令和4年</t>
    <rPh sb="0" eb="2">
      <t>レイワ</t>
    </rPh>
    <rPh sb="3" eb="4">
      <t>ネン</t>
    </rPh>
    <phoneticPr fontId="2"/>
  </si>
  <si>
    <t>大15年/昭元年</t>
    <rPh sb="0" eb="1">
      <t>ダイ</t>
    </rPh>
    <rPh sb="3" eb="4">
      <t>ネン</t>
    </rPh>
    <rPh sb="5" eb="6">
      <t>アキラ</t>
    </rPh>
    <rPh sb="6" eb="8">
      <t>ガンネン</t>
    </rPh>
    <phoneticPr fontId="2"/>
  </si>
  <si>
    <t>昭64年/平元年</t>
    <rPh sb="0" eb="1">
      <t>アキラ</t>
    </rPh>
    <rPh sb="3" eb="4">
      <t>ネン</t>
    </rPh>
    <rPh sb="5" eb="7">
      <t>ヒラモト</t>
    </rPh>
    <rPh sb="7" eb="8">
      <t>トシ</t>
    </rPh>
    <phoneticPr fontId="2"/>
  </si>
  <si>
    <t>平31年/令元年</t>
    <rPh sb="0" eb="1">
      <t>ヒラ</t>
    </rPh>
    <rPh sb="3" eb="4">
      <t>ネン</t>
    </rPh>
    <rPh sb="5" eb="6">
      <t>レイ</t>
    </rPh>
    <rPh sb="6" eb="7">
      <t>モト</t>
    </rPh>
    <rPh sb="7" eb="8">
      <t>トシ</t>
    </rPh>
    <phoneticPr fontId="2"/>
  </si>
  <si>
    <t>西暦</t>
    <rPh sb="0" eb="2">
      <t>セイレキ</t>
    </rPh>
    <phoneticPr fontId="2"/>
  </si>
  <si>
    <t>（参考）西暦・元号早見表</t>
    <rPh sb="1" eb="3">
      <t>サンコウ</t>
    </rPh>
    <rPh sb="4" eb="6">
      <t>セイレキ</t>
    </rPh>
    <rPh sb="7" eb="9">
      <t>ゲンゴウ</t>
    </rPh>
    <rPh sb="9" eb="12">
      <t>ハヤミヒョウ</t>
    </rPh>
    <phoneticPr fontId="2"/>
  </si>
  <si>
    <t>2023年</t>
    <rPh sb="4" eb="5">
      <t>ネン</t>
    </rPh>
    <phoneticPr fontId="2"/>
  </si>
  <si>
    <t>令和5年</t>
    <rPh sb="0" eb="2">
      <t>レイワ</t>
    </rPh>
    <rPh sb="3" eb="4">
      <t>ネン</t>
    </rPh>
    <phoneticPr fontId="2"/>
  </si>
  <si>
    <r>
      <t>令和</t>
    </r>
    <r>
      <rPr>
        <b/>
        <sz val="18"/>
        <rFont val="ＭＳ Ｐゴシック"/>
        <family val="3"/>
        <charset val="128"/>
        <scheme val="minor"/>
      </rPr>
      <t>５</t>
    </r>
    <r>
      <rPr>
        <b/>
        <sz val="18"/>
        <color theme="1"/>
        <rFont val="ＭＳ Ｐゴシック"/>
        <family val="3"/>
        <charset val="128"/>
        <scheme val="minor"/>
      </rPr>
      <t>年度　那覇市国民健康保険税　簡易シミュレーション</t>
    </r>
    <rPh sb="0" eb="2">
      <t>レイワ</t>
    </rPh>
    <rPh sb="3" eb="5">
      <t>ネンド</t>
    </rPh>
    <rPh sb="6" eb="9">
      <t>ナハシ</t>
    </rPh>
    <rPh sb="9" eb="11">
      <t>コクミン</t>
    </rPh>
    <rPh sb="11" eb="13">
      <t>ケンコウ</t>
    </rPh>
    <rPh sb="13" eb="15">
      <t>ホケン</t>
    </rPh>
    <rPh sb="15" eb="16">
      <t>ゼイ</t>
    </rPh>
    <rPh sb="17" eb="19">
      <t>カンイ</t>
    </rPh>
    <phoneticPr fontId="2"/>
  </si>
  <si>
    <t>令和6年3月31日現在で7歳未満</t>
    <rPh sb="0" eb="2">
      <t>レイワ</t>
    </rPh>
    <rPh sb="3" eb="4">
      <t>ネン</t>
    </rPh>
    <rPh sb="5" eb="6">
      <t>ゲツ</t>
    </rPh>
    <rPh sb="8" eb="9">
      <t>ニチ</t>
    </rPh>
    <rPh sb="9" eb="11">
      <t>ゲンザイ</t>
    </rPh>
    <rPh sb="13" eb="14">
      <t>サイ</t>
    </rPh>
    <rPh sb="14" eb="16">
      <t>ミマン</t>
    </rPh>
    <phoneticPr fontId="2"/>
  </si>
  <si>
    <t>Ver.1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</si>
</sst>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b/>
      <sz val="12"/>
      <color rgb="FF0000FF"/>
      <name val="ＭＳ Ｐゴシック"/>
      <family val="3"/>
      <charset val="128"/>
      <scheme val="minor"/>
    </font>
    <font>
      <b/>
      <sz val="18"/>
      <color rgb="FFFF0000"/>
      <name val="ＭＳ Ｐゴシック"/>
      <family val="3"/>
      <charset val="128"/>
      <scheme val="minor"/>
    </font>
    <font>
      <sz val="11"/>
      <color theme="1"/>
      <name val="ＭＳ Ｐゴシック"/>
      <family val="3"/>
      <charset val="128"/>
      <scheme val="minor"/>
    </font>
    <font>
      <b/>
      <sz val="16"/>
      <color rgb="FFFF0000"/>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sz val="12"/>
      <color theme="1" tint="0.499984740745262"/>
      <name val="ＭＳ Ｐゴシック"/>
      <family val="3"/>
      <charset val="128"/>
      <scheme val="minor"/>
    </font>
    <font>
      <b/>
      <sz val="18"/>
      <name val="ＭＳ Ｐゴシック"/>
      <family val="3"/>
      <charset val="128"/>
      <scheme val="minor"/>
    </font>
    <font>
      <sz val="11"/>
      <name val="ＭＳ Ｐゴシック"/>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6" tint="0.59999389629810485"/>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s>
  <cellStyleXfs count="2">
    <xf numFmtId="0" fontId="0" fillId="0" borderId="0"/>
    <xf numFmtId="38" fontId="1" fillId="0" borderId="0" applyFont="0" applyFill="0" applyBorder="0" applyAlignment="0" applyProtection="0">
      <alignment vertical="center"/>
    </xf>
  </cellStyleXfs>
  <cellXfs count="212">
    <xf numFmtId="0" fontId="0" fillId="0" borderId="0" xfId="0"/>
    <xf numFmtId="0" fontId="4" fillId="2" borderId="34" xfId="0" applyFont="1" applyFill="1" applyBorder="1" applyAlignment="1" applyProtection="1">
      <alignment horizontal="center" vertical="center"/>
      <protection locked="0"/>
    </xf>
    <xf numFmtId="0" fontId="4" fillId="2" borderId="34" xfId="0" applyFont="1" applyFill="1" applyBorder="1" applyAlignment="1" applyProtection="1">
      <alignment vertical="center"/>
      <protection locked="0"/>
    </xf>
    <xf numFmtId="0" fontId="4" fillId="2" borderId="9" xfId="0" applyFont="1" applyFill="1" applyBorder="1" applyAlignment="1" applyProtection="1">
      <alignment horizontal="center" vertical="center"/>
      <protection locked="0"/>
    </xf>
    <xf numFmtId="0" fontId="4" fillId="2" borderId="9" xfId="0" applyFont="1" applyFill="1" applyBorder="1" applyAlignment="1" applyProtection="1">
      <alignment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vertical="center"/>
      <protection locked="0"/>
    </xf>
    <xf numFmtId="38" fontId="4" fillId="2" borderId="34" xfId="1" applyFont="1" applyFill="1" applyBorder="1" applyAlignment="1" applyProtection="1">
      <alignment vertical="center"/>
      <protection locked="0"/>
    </xf>
    <xf numFmtId="38" fontId="4" fillId="2" borderId="35" xfId="1" applyFont="1" applyFill="1" applyBorder="1" applyAlignment="1" applyProtection="1">
      <alignment vertical="center"/>
      <protection locked="0"/>
    </xf>
    <xf numFmtId="38" fontId="4" fillId="2" borderId="9" xfId="1" applyFont="1" applyFill="1" applyBorder="1" applyAlignment="1" applyProtection="1">
      <alignment vertical="center"/>
      <protection locked="0"/>
    </xf>
    <xf numFmtId="38" fontId="4" fillId="2" borderId="4" xfId="1" applyFont="1" applyFill="1" applyBorder="1" applyAlignment="1" applyProtection="1">
      <alignment vertical="center"/>
      <protection locked="0"/>
    </xf>
    <xf numFmtId="0" fontId="7" fillId="0" borderId="0" xfId="0" applyFont="1" applyProtection="1"/>
    <xf numFmtId="0" fontId="4" fillId="0" borderId="0" xfId="0" applyFont="1" applyProtection="1"/>
    <xf numFmtId="14" fontId="4" fillId="0" borderId="0" xfId="0" applyNumberFormat="1" applyFont="1" applyAlignment="1" applyProtection="1">
      <alignment horizontal="right"/>
    </xf>
    <xf numFmtId="14" fontId="4" fillId="0" borderId="0" xfId="0" applyNumberFormat="1" applyFont="1" applyBorder="1" applyAlignment="1" applyProtection="1">
      <alignment horizontal="right"/>
    </xf>
    <xf numFmtId="0" fontId="4" fillId="0" borderId="17" xfId="0" applyFont="1" applyBorder="1" applyProtection="1"/>
    <xf numFmtId="0" fontId="4" fillId="0" borderId="11" xfId="0" applyFont="1" applyBorder="1" applyProtection="1"/>
    <xf numFmtId="0" fontId="4" fillId="0" borderId="0" xfId="0" applyFont="1" applyBorder="1" applyProtection="1"/>
    <xf numFmtId="0" fontId="4" fillId="0" borderId="23" xfId="0" applyFont="1" applyBorder="1" applyProtection="1"/>
    <xf numFmtId="0" fontId="4" fillId="0" borderId="29" xfId="0" applyFont="1" applyBorder="1" applyProtection="1"/>
    <xf numFmtId="0" fontId="4" fillId="0" borderId="27" xfId="0" applyFont="1" applyBorder="1" applyProtection="1"/>
    <xf numFmtId="0" fontId="4" fillId="0" borderId="18" xfId="0" applyFont="1" applyBorder="1" applyProtection="1"/>
    <xf numFmtId="0" fontId="4" fillId="0" borderId="28" xfId="0" applyFont="1" applyBorder="1" applyProtection="1"/>
    <xf numFmtId="0" fontId="4" fillId="0" borderId="0" xfId="0" applyFont="1" applyBorder="1" applyAlignment="1" applyProtection="1">
      <alignment horizontal="right"/>
    </xf>
    <xf numFmtId="14" fontId="4" fillId="0" borderId="0" xfId="0" applyNumberFormat="1" applyFont="1" applyAlignment="1" applyProtection="1">
      <alignment horizontal="left"/>
    </xf>
    <xf numFmtId="0" fontId="3" fillId="0" borderId="0" xfId="0" applyFont="1" applyFill="1" applyBorder="1" applyAlignment="1" applyProtection="1">
      <alignment vertical="center" wrapText="1"/>
    </xf>
    <xf numFmtId="0" fontId="4" fillId="0" borderId="0" xfId="0" applyFont="1" applyBorder="1" applyAlignment="1" applyProtection="1">
      <alignment wrapText="1"/>
    </xf>
    <xf numFmtId="0" fontId="4"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24" xfId="0" applyFont="1" applyBorder="1" applyAlignment="1" applyProtection="1">
      <alignment horizontal="center" vertical="center"/>
    </xf>
    <xf numFmtId="0" fontId="18" fillId="0" borderId="0" xfId="0" applyFont="1" applyBorder="1" applyProtection="1"/>
    <xf numFmtId="0" fontId="4" fillId="0" borderId="9"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0" xfId="0" applyFont="1" applyFill="1" applyBorder="1" applyAlignment="1" applyProtection="1">
      <alignment vertical="center"/>
    </xf>
    <xf numFmtId="0" fontId="4" fillId="0" borderId="10" xfId="0" applyFont="1" applyBorder="1" applyAlignment="1" applyProtection="1">
      <alignment horizontal="center"/>
    </xf>
    <xf numFmtId="0" fontId="4" fillId="0" borderId="46" xfId="0" applyFont="1" applyBorder="1" applyAlignment="1" applyProtection="1">
      <alignment horizontal="center"/>
    </xf>
    <xf numFmtId="0" fontId="4" fillId="0" borderId="47" xfId="0" applyFont="1" applyBorder="1" applyAlignment="1" applyProtection="1">
      <alignment horizontal="center"/>
    </xf>
    <xf numFmtId="0" fontId="4" fillId="0" borderId="9" xfId="0" applyFont="1" applyBorder="1" applyAlignment="1" applyProtection="1">
      <alignment horizontal="center"/>
    </xf>
    <xf numFmtId="0" fontId="4" fillId="0" borderId="27" xfId="0" applyFont="1" applyBorder="1" applyAlignment="1" applyProtection="1">
      <alignment horizontal="center"/>
    </xf>
    <xf numFmtId="0" fontId="4" fillId="0" borderId="45" xfId="0" applyFont="1" applyBorder="1" applyAlignment="1" applyProtection="1">
      <alignment horizontal="center"/>
    </xf>
    <xf numFmtId="0" fontId="4" fillId="0" borderId="4" xfId="0" applyFont="1" applyBorder="1" applyAlignment="1" applyProtection="1">
      <alignment horizontal="center"/>
    </xf>
    <xf numFmtId="0" fontId="4" fillId="0" borderId="6" xfId="0" applyFont="1" applyBorder="1" applyAlignment="1" applyProtection="1">
      <alignment horizontal="center"/>
    </xf>
    <xf numFmtId="0" fontId="4" fillId="0" borderId="44" xfId="0" applyFont="1" applyBorder="1" applyAlignment="1" applyProtection="1">
      <alignment horizontal="center"/>
    </xf>
    <xf numFmtId="0" fontId="14" fillId="0" borderId="0" xfId="0" applyFont="1" applyProtection="1"/>
    <xf numFmtId="0" fontId="0" fillId="0" borderId="0" xfId="0" applyProtection="1"/>
    <xf numFmtId="0" fontId="0" fillId="0" borderId="0" xfId="0" applyAlignment="1" applyProtection="1">
      <alignment horizontal="center" vertical="center"/>
    </xf>
    <xf numFmtId="0" fontId="0" fillId="0" borderId="4" xfId="0" applyBorder="1" applyAlignment="1" applyProtection="1">
      <alignment horizontal="center"/>
    </xf>
    <xf numFmtId="38" fontId="0" fillId="0" borderId="4" xfId="1" applyFont="1" applyBorder="1" applyAlignment="1" applyProtection="1"/>
    <xf numFmtId="38" fontId="0" fillId="0" borderId="4" xfId="1" applyFont="1" applyFill="1" applyBorder="1" applyAlignment="1" applyProtection="1"/>
    <xf numFmtId="38" fontId="0" fillId="0" borderId="10" xfId="1" applyFont="1" applyBorder="1" applyAlignment="1" applyProtection="1"/>
    <xf numFmtId="0" fontId="0" fillId="0" borderId="0" xfId="0" applyAlignment="1" applyProtection="1">
      <alignment horizontal="left"/>
    </xf>
    <xf numFmtId="0" fontId="0" fillId="0" borderId="9" xfId="0" applyBorder="1" applyProtection="1"/>
    <xf numFmtId="0" fontId="0" fillId="0" borderId="9" xfId="0" applyBorder="1" applyAlignment="1" applyProtection="1">
      <alignment horizontal="center"/>
    </xf>
    <xf numFmtId="3" fontId="0" fillId="0" borderId="9" xfId="0" applyNumberFormat="1" applyBorder="1" applyProtection="1"/>
    <xf numFmtId="38" fontId="0" fillId="0" borderId="9" xfId="1" applyFont="1" applyBorder="1" applyAlignment="1" applyProtection="1"/>
    <xf numFmtId="3" fontId="0" fillId="0" borderId="4" xfId="0" applyNumberFormat="1" applyBorder="1" applyProtection="1"/>
    <xf numFmtId="0" fontId="0" fillId="0" borderId="0" xfId="0" applyAlignment="1" applyProtection="1">
      <alignment horizontal="center"/>
    </xf>
    <xf numFmtId="0" fontId="0" fillId="0" borderId="0" xfId="0" applyAlignment="1" applyProtection="1">
      <alignment horizontal="right"/>
    </xf>
    <xf numFmtId="38" fontId="0" fillId="0" borderId="1" xfId="1" applyFont="1" applyBorder="1" applyAlignment="1" applyProtection="1"/>
    <xf numFmtId="0" fontId="0" fillId="0" borderId="0" xfId="0" applyBorder="1" applyAlignment="1" applyProtection="1">
      <alignment vertical="center" wrapText="1"/>
    </xf>
    <xf numFmtId="0" fontId="0" fillId="0" borderId="4" xfId="0" applyNumberFormat="1" applyBorder="1" applyProtection="1"/>
    <xf numFmtId="0" fontId="0" fillId="0" borderId="4" xfId="0" applyBorder="1" applyProtection="1"/>
    <xf numFmtId="38" fontId="0" fillId="0" borderId="4" xfId="0" applyNumberFormat="1" applyBorder="1" applyProtection="1"/>
    <xf numFmtId="0" fontId="0" fillId="0" borderId="0" xfId="0" applyBorder="1" applyProtection="1"/>
    <xf numFmtId="0" fontId="0" fillId="0" borderId="4" xfId="0" applyBorder="1" applyAlignment="1" applyProtection="1">
      <alignment horizontal="right"/>
    </xf>
    <xf numFmtId="0" fontId="0" fillId="0" borderId="0" xfId="0" applyAlignment="1" applyProtection="1"/>
    <xf numFmtId="38" fontId="0" fillId="0" borderId="1" xfId="0" applyNumberFormat="1" applyBorder="1" applyProtection="1"/>
    <xf numFmtId="38" fontId="0" fillId="0" borderId="0" xfId="0" applyNumberFormat="1" applyProtection="1"/>
    <xf numFmtId="0" fontId="0" fillId="0" borderId="2" xfId="0" applyBorder="1" applyProtection="1"/>
    <xf numFmtId="0" fontId="0" fillId="0" borderId="3" xfId="0" applyBorder="1" applyProtection="1"/>
    <xf numFmtId="0" fontId="0" fillId="0" borderId="0" xfId="0" applyFill="1" applyProtection="1"/>
    <xf numFmtId="0" fontId="0" fillId="0" borderId="0" xfId="0" applyFill="1" applyBorder="1" applyAlignment="1" applyProtection="1"/>
    <xf numFmtId="0" fontId="0" fillId="0" borderId="0" xfId="0" applyBorder="1" applyAlignment="1" applyProtection="1"/>
    <xf numFmtId="0" fontId="0" fillId="0" borderId="0" xfId="0" applyBorder="1" applyAlignment="1" applyProtection="1">
      <alignment wrapText="1"/>
    </xf>
    <xf numFmtId="3" fontId="0" fillId="0" borderId="4" xfId="0" applyNumberFormat="1" applyFill="1" applyBorder="1" applyProtection="1"/>
    <xf numFmtId="0" fontId="0" fillId="0" borderId="4" xfId="0" applyFill="1" applyBorder="1" applyAlignment="1" applyProtection="1">
      <alignment horizontal="center"/>
    </xf>
    <xf numFmtId="0" fontId="0" fillId="0" borderId="4" xfId="0" applyNumberFormat="1" applyFill="1" applyBorder="1" applyProtection="1"/>
    <xf numFmtId="0" fontId="0" fillId="0" borderId="4" xfId="0" applyFill="1" applyBorder="1" applyProtection="1"/>
    <xf numFmtId="0" fontId="6" fillId="0" borderId="5" xfId="0" applyFont="1" applyBorder="1" applyAlignment="1" applyProtection="1">
      <alignment horizontal="center" vertical="center"/>
    </xf>
    <xf numFmtId="0" fontId="6" fillId="0" borderId="16" xfId="0" applyFont="1" applyBorder="1" applyAlignment="1" applyProtection="1">
      <alignment horizontal="center" vertical="center"/>
    </xf>
    <xf numFmtId="10" fontId="0" fillId="0" borderId="8" xfId="0" applyNumberFormat="1" applyBorder="1" applyAlignment="1" applyProtection="1">
      <alignment horizontal="center"/>
    </xf>
    <xf numFmtId="3" fontId="0" fillId="0" borderId="23" xfId="0" applyNumberFormat="1" applyBorder="1" applyAlignment="1" applyProtection="1">
      <alignment vertical="center"/>
    </xf>
    <xf numFmtId="3" fontId="0" fillId="0" borderId="8" xfId="0" applyNumberFormat="1" applyBorder="1" applyAlignment="1" applyProtection="1">
      <alignment vertical="center"/>
    </xf>
    <xf numFmtId="3" fontId="0" fillId="0" borderId="23" xfId="0" applyNumberFormat="1" applyBorder="1" applyAlignment="1" applyProtection="1">
      <alignment horizontal="center" vertical="center"/>
    </xf>
    <xf numFmtId="0" fontId="0" fillId="0" borderId="4" xfId="0" applyFill="1" applyBorder="1" applyAlignment="1" applyProtection="1"/>
    <xf numFmtId="0" fontId="0" fillId="0" borderId="5" xfId="0" applyBorder="1" applyAlignment="1" applyProtection="1">
      <alignment horizontal="center"/>
    </xf>
    <xf numFmtId="0" fontId="0" fillId="0" borderId="24" xfId="0" applyFill="1" applyBorder="1" applyAlignment="1" applyProtection="1">
      <alignment horizontal="center"/>
    </xf>
    <xf numFmtId="0" fontId="0" fillId="0" borderId="34" xfId="0" applyFill="1" applyBorder="1" applyProtection="1"/>
    <xf numFmtId="0" fontId="0" fillId="0" borderId="8" xfId="0" applyBorder="1" applyAlignment="1" applyProtection="1">
      <alignment horizontal="center" wrapText="1"/>
    </xf>
    <xf numFmtId="0" fontId="0" fillId="0" borderId="24" xfId="0" applyBorder="1" applyAlignment="1" applyProtection="1">
      <alignment horizontal="center" wrapText="1"/>
    </xf>
    <xf numFmtId="0" fontId="8" fillId="0" borderId="0" xfId="0" applyFont="1" applyBorder="1" applyAlignment="1" applyProtection="1">
      <alignment horizontal="right"/>
    </xf>
    <xf numFmtId="38" fontId="0" fillId="0" borderId="0" xfId="0" applyNumberFormat="1" applyBorder="1" applyProtection="1"/>
    <xf numFmtId="0" fontId="4" fillId="0" borderId="48" xfId="0" applyFont="1" applyBorder="1" applyAlignment="1" applyProtection="1">
      <alignment horizontal="center"/>
    </xf>
    <xf numFmtId="0" fontId="4" fillId="0" borderId="49" xfId="0" applyFont="1" applyBorder="1" applyAlignment="1" applyProtection="1">
      <alignment horizontal="center"/>
    </xf>
    <xf numFmtId="0" fontId="4" fillId="0" borderId="50" xfId="0" applyFont="1" applyBorder="1" applyAlignment="1" applyProtection="1">
      <alignment horizontal="center"/>
    </xf>
    <xf numFmtId="0" fontId="0" fillId="0" borderId="9" xfId="0" applyFont="1" applyBorder="1" applyAlignment="1" applyProtection="1">
      <alignment horizontal="right"/>
    </xf>
    <xf numFmtId="0" fontId="12" fillId="0" borderId="4" xfId="0" applyFont="1" applyBorder="1" applyAlignment="1" applyProtection="1">
      <alignment horizontal="right"/>
    </xf>
    <xf numFmtId="0" fontId="0" fillId="0" borderId="0" xfId="0" applyFont="1" applyProtection="1"/>
    <xf numFmtId="0" fontId="0" fillId="0" borderId="4" xfId="0" applyFont="1" applyBorder="1" applyAlignment="1" applyProtection="1">
      <alignment horizontal="center"/>
    </xf>
    <xf numFmtId="0" fontId="12" fillId="0" borderId="0" xfId="0" applyFont="1" applyAlignment="1" applyProtection="1"/>
    <xf numFmtId="0" fontId="12" fillId="0" borderId="0" xfId="0" applyFont="1" applyAlignment="1" applyProtection="1">
      <alignment horizontal="right"/>
    </xf>
    <xf numFmtId="38" fontId="12" fillId="0" borderId="4" xfId="0" applyNumberFormat="1" applyFont="1" applyBorder="1" applyProtection="1"/>
    <xf numFmtId="38" fontId="12" fillId="0" borderId="4" xfId="1" applyFont="1" applyBorder="1" applyAlignment="1" applyProtection="1"/>
    <xf numFmtId="0" fontId="6" fillId="0" borderId="0" xfId="0" applyFont="1" applyFill="1" applyBorder="1" applyAlignment="1" applyProtection="1">
      <alignment vertical="center"/>
    </xf>
    <xf numFmtId="0" fontId="4" fillId="3" borderId="48" xfId="0" applyFont="1" applyFill="1" applyBorder="1" applyAlignment="1" applyProtection="1">
      <alignment horizontal="center"/>
    </xf>
    <xf numFmtId="0" fontId="4" fillId="3" borderId="49" xfId="0" applyFont="1" applyFill="1" applyBorder="1" applyAlignment="1" applyProtection="1">
      <alignment horizontal="center" shrinkToFit="1"/>
    </xf>
    <xf numFmtId="0" fontId="4" fillId="3" borderId="50" xfId="0" applyFont="1" applyFill="1" applyBorder="1" applyAlignment="1" applyProtection="1">
      <alignment horizontal="center"/>
    </xf>
    <xf numFmtId="0" fontId="4" fillId="3" borderId="48" xfId="0" applyFont="1" applyFill="1" applyBorder="1" applyAlignment="1" applyProtection="1">
      <alignment horizontal="center" shrinkToFit="1"/>
    </xf>
    <xf numFmtId="0" fontId="4" fillId="2" borderId="37" xfId="0" applyNumberFormat="1" applyFont="1" applyFill="1" applyBorder="1" applyAlignment="1" applyProtection="1">
      <alignment vertical="center"/>
      <protection locked="0"/>
    </xf>
    <xf numFmtId="0" fontId="4" fillId="2" borderId="28" xfId="0" applyNumberFormat="1" applyFont="1" applyFill="1" applyBorder="1" applyAlignment="1" applyProtection="1">
      <alignment vertical="center"/>
      <protection locked="0"/>
    </xf>
    <xf numFmtId="0" fontId="4" fillId="2" borderId="7" xfId="0" applyNumberFormat="1" applyFont="1" applyFill="1" applyBorder="1" applyAlignment="1" applyProtection="1">
      <alignment vertical="center"/>
      <protection locked="0"/>
    </xf>
    <xf numFmtId="38" fontId="20" fillId="0" borderId="4" xfId="1" applyFont="1" applyFill="1" applyBorder="1" applyAlignment="1" applyProtection="1"/>
    <xf numFmtId="14" fontId="0" fillId="0" borderId="0" xfId="0" applyNumberFormat="1" applyProtection="1"/>
    <xf numFmtId="0" fontId="11" fillId="0" borderId="0" xfId="0" applyFont="1" applyBorder="1" applyAlignment="1" applyProtection="1">
      <alignment horizontal="left" vertical="top" wrapText="1"/>
    </xf>
    <xf numFmtId="0" fontId="12"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3" fillId="0" borderId="0" xfId="0" applyFont="1" applyBorder="1" applyAlignment="1" applyProtection="1">
      <alignment vertical="top"/>
    </xf>
    <xf numFmtId="0" fontId="3" fillId="0" borderId="6"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36"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15" xfId="0" applyFont="1" applyBorder="1" applyAlignment="1" applyProtection="1">
      <alignment horizontal="center" vertical="center"/>
    </xf>
    <xf numFmtId="3" fontId="7" fillId="0" borderId="40" xfId="0" applyNumberFormat="1" applyFont="1" applyBorder="1" applyAlignment="1" applyProtection="1">
      <alignment horizontal="right" vertical="center"/>
    </xf>
    <xf numFmtId="3" fontId="7" fillId="0" borderId="41" xfId="0" applyNumberFormat="1" applyFont="1" applyBorder="1" applyAlignment="1" applyProtection="1">
      <alignment horizontal="right" vertical="center"/>
    </xf>
    <xf numFmtId="3" fontId="7" fillId="0" borderId="42" xfId="0" applyNumberFormat="1" applyFont="1" applyBorder="1" applyAlignment="1" applyProtection="1">
      <alignment horizontal="right" vertical="center"/>
    </xf>
    <xf numFmtId="3" fontId="7" fillId="0" borderId="43" xfId="0" applyNumberFormat="1" applyFont="1" applyBorder="1" applyAlignment="1" applyProtection="1">
      <alignment horizontal="right" vertical="center"/>
    </xf>
    <xf numFmtId="0" fontId="7" fillId="7" borderId="38" xfId="0" applyFont="1" applyFill="1" applyBorder="1" applyAlignment="1" applyProtection="1">
      <alignment horizontal="center" vertical="center"/>
    </xf>
    <xf numFmtId="0" fontId="7" fillId="7" borderId="39" xfId="0" applyFont="1" applyFill="1" applyBorder="1" applyAlignment="1" applyProtection="1">
      <alignment horizontal="center" vertical="center"/>
    </xf>
    <xf numFmtId="0" fontId="7" fillId="7" borderId="40" xfId="0" applyFont="1" applyFill="1" applyBorder="1" applyAlignment="1" applyProtection="1">
      <alignment horizontal="center" vertical="center"/>
    </xf>
    <xf numFmtId="0" fontId="7" fillId="7" borderId="41" xfId="0" applyFont="1" applyFill="1" applyBorder="1" applyAlignment="1" applyProtection="1">
      <alignment horizontal="center" vertical="center"/>
    </xf>
    <xf numFmtId="0" fontId="7" fillId="0" borderId="1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5" xfId="0" applyFont="1" applyBorder="1" applyAlignment="1" applyProtection="1">
      <alignment horizontal="center" vertical="center"/>
    </xf>
    <xf numFmtId="0" fontId="17"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3" fillId="0" borderId="8" xfId="0" applyFont="1" applyBorder="1" applyAlignment="1" applyProtection="1">
      <alignment horizontal="center" vertical="center"/>
    </xf>
    <xf numFmtId="38" fontId="5" fillId="0" borderId="4" xfId="1" applyFont="1" applyBorder="1" applyAlignment="1" applyProtection="1">
      <alignment horizontal="right" vertical="center"/>
    </xf>
    <xf numFmtId="38" fontId="5" fillId="0" borderId="6" xfId="1" applyFont="1" applyBorder="1" applyAlignment="1" applyProtection="1">
      <alignment horizontal="right" vertical="center"/>
    </xf>
    <xf numFmtId="0" fontId="3" fillId="0" borderId="4" xfId="0" applyFont="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9"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4" xfId="0" applyBorder="1" applyAlignment="1" applyProtection="1">
      <alignment horizontal="center"/>
    </xf>
    <xf numFmtId="0" fontId="6" fillId="3" borderId="6"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3" fontId="0" fillId="0" borderId="8" xfId="0" applyNumberFormat="1" applyFill="1" applyBorder="1" applyAlignment="1" applyProtection="1">
      <alignment horizontal="right"/>
    </xf>
    <xf numFmtId="3" fontId="20" fillId="0" borderId="8" xfId="0" applyNumberFormat="1" applyFont="1" applyFill="1" applyBorder="1" applyAlignment="1" applyProtection="1">
      <alignment horizontal="right"/>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4" xfId="0" applyBorder="1" applyAlignment="1" applyProtection="1">
      <alignment horizontal="center" wrapText="1"/>
    </xf>
    <xf numFmtId="0" fontId="0" fillId="0" borderId="4"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1" xfId="0" applyBorder="1" applyAlignment="1" applyProtection="1">
      <alignment horizontal="center" vertical="center"/>
    </xf>
    <xf numFmtId="0" fontId="0" fillId="0" borderId="23" xfId="0" applyBorder="1" applyAlignment="1" applyProtection="1">
      <alignment horizontal="center" vertical="center"/>
    </xf>
    <xf numFmtId="0" fontId="0" fillId="0" borderId="0"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3" fontId="6" fillId="0" borderId="19" xfId="0" applyNumberFormat="1" applyFont="1" applyBorder="1" applyAlignment="1" applyProtection="1">
      <alignment horizontal="right" vertical="center"/>
    </xf>
    <xf numFmtId="0" fontId="6" fillId="0" borderId="13" xfId="0" applyFont="1" applyBorder="1" applyAlignment="1" applyProtection="1">
      <alignment horizontal="right" vertical="center"/>
    </xf>
    <xf numFmtId="0" fontId="6" fillId="0" borderId="20" xfId="0" applyFont="1" applyBorder="1" applyAlignment="1" applyProtection="1">
      <alignment horizontal="right" vertical="center"/>
    </xf>
    <xf numFmtId="0" fontId="6" fillId="0" borderId="15" xfId="0" applyFont="1" applyBorder="1" applyAlignment="1" applyProtection="1">
      <alignment horizontal="right" vertical="center"/>
    </xf>
    <xf numFmtId="38" fontId="0" fillId="0" borderId="5" xfId="0" applyNumberFormat="1" applyBorder="1" applyAlignment="1" applyProtection="1">
      <alignment horizontal="center" vertical="center"/>
    </xf>
    <xf numFmtId="0" fontId="0" fillId="0" borderId="8" xfId="0"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5" xfId="0" applyFill="1" applyBorder="1" applyAlignment="1" applyProtection="1">
      <alignment horizontal="center" vertical="center" wrapText="1"/>
    </xf>
    <xf numFmtId="14" fontId="20" fillId="0" borderId="4" xfId="0" applyNumberFormat="1"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6" fillId="6" borderId="33" xfId="0"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0" fillId="0" borderId="34" xfId="0" applyBorder="1" applyAlignment="1" applyProtection="1">
      <alignment horizontal="right"/>
    </xf>
    <xf numFmtId="0" fontId="0" fillId="0" borderId="35" xfId="0" applyBorder="1" applyAlignment="1" applyProtection="1">
      <alignment horizontal="right"/>
    </xf>
    <xf numFmtId="0" fontId="0" fillId="0" borderId="4" xfId="0" applyFill="1" applyBorder="1" applyAlignment="1" applyProtection="1">
      <alignment horizontal="center" vertical="center"/>
    </xf>
    <xf numFmtId="0" fontId="0" fillId="0" borderId="5" xfId="0" applyFill="1" applyBorder="1" applyAlignment="1" applyProtection="1">
      <alignment horizontal="right" vertical="center"/>
    </xf>
    <xf numFmtId="0" fontId="0" fillId="0" borderId="8" xfId="0" applyFill="1" applyBorder="1" applyAlignment="1" applyProtection="1">
      <alignment horizontal="right" vertical="center"/>
    </xf>
    <xf numFmtId="0" fontId="0" fillId="0" borderId="36" xfId="0" applyFill="1" applyBorder="1" applyAlignment="1" applyProtection="1">
      <alignment horizontal="right" vertical="center"/>
    </xf>
    <xf numFmtId="0" fontId="0" fillId="0" borderId="4" xfId="0" applyFill="1" applyBorder="1" applyAlignment="1" applyProtection="1">
      <alignment horizontal="center" wrapText="1"/>
    </xf>
    <xf numFmtId="0" fontId="0" fillId="0" borderId="4" xfId="0" applyFill="1" applyBorder="1" applyAlignment="1" applyProtection="1">
      <alignment horizontal="center"/>
    </xf>
  </cellXfs>
  <cellStyles count="2">
    <cellStyle name="桁区切り" xfId="1" builtinId="6"/>
    <cellStyle name="標準" xfId="0" builtinId="0"/>
  </cellStyles>
  <dxfs count="0"/>
  <tableStyles count="0" defaultTableStyle="TableStyleMedium2" defaultPivotStyle="PivotStyleMedium9"/>
  <colors>
    <mruColors>
      <color rgb="FFFEF2E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911574</xdr:colOff>
      <xdr:row>45</xdr:row>
      <xdr:rowOff>38183</xdr:rowOff>
    </xdr:from>
    <xdr:to>
      <xdr:col>7</xdr:col>
      <xdr:colOff>666993</xdr:colOff>
      <xdr:row>57</xdr:row>
      <xdr:rowOff>162241</xdr:rowOff>
    </xdr:to>
    <xdr:pic>
      <xdr:nvPicPr>
        <xdr:cNvPr id="44" name="図 43">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031" y="8329074"/>
          <a:ext cx="6265549" cy="2310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536601</xdr:colOff>
      <xdr:row>96</xdr:row>
      <xdr:rowOff>16489</xdr:rowOff>
    </xdr:from>
    <xdr:to>
      <xdr:col>6</xdr:col>
      <xdr:colOff>425824</xdr:colOff>
      <xdr:row>98</xdr:row>
      <xdr:rowOff>179294</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5187042" y="14259165"/>
          <a:ext cx="976194" cy="52139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293757</xdr:colOff>
      <xdr:row>58</xdr:row>
      <xdr:rowOff>69037</xdr:rowOff>
    </xdr:from>
    <xdr:to>
      <xdr:col>4</xdr:col>
      <xdr:colOff>414618</xdr:colOff>
      <xdr:row>76</xdr:row>
      <xdr:rowOff>71427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5907" t="13715" r="19972" b="13341"/>
        <a:stretch/>
      </xdr:blipFill>
      <xdr:spPr>
        <a:xfrm>
          <a:off x="293757" y="14311713"/>
          <a:ext cx="3684332" cy="2898310"/>
        </a:xfrm>
        <a:prstGeom prst="rect">
          <a:avLst/>
        </a:prstGeom>
        <a:ln>
          <a:solidFill>
            <a:schemeClr val="tx1"/>
          </a:solidFill>
        </a:ln>
      </xdr:spPr>
    </xdr:pic>
    <xdr:clientData/>
  </xdr:twoCellAnchor>
  <xdr:twoCellAnchor editAs="oneCell">
    <xdr:from>
      <xdr:col>4</xdr:col>
      <xdr:colOff>484398</xdr:colOff>
      <xdr:row>58</xdr:row>
      <xdr:rowOff>54629</xdr:rowOff>
    </xdr:from>
    <xdr:to>
      <xdr:col>8</xdr:col>
      <xdr:colOff>89647</xdr:colOff>
      <xdr:row>76</xdr:row>
      <xdr:rowOff>79018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3"/>
        <a:srcRect l="5886" t="14482" r="24086" b="21570"/>
        <a:stretch/>
      </xdr:blipFill>
      <xdr:spPr>
        <a:xfrm>
          <a:off x="4047869" y="14297305"/>
          <a:ext cx="3953131" cy="2920309"/>
        </a:xfrm>
        <a:prstGeom prst="rect">
          <a:avLst/>
        </a:prstGeom>
        <a:ln>
          <a:solidFill>
            <a:schemeClr val="tx1"/>
          </a:solidFill>
        </a:ln>
      </xdr:spPr>
    </xdr:pic>
    <xdr:clientData/>
  </xdr:twoCellAnchor>
  <xdr:twoCellAnchor>
    <xdr:from>
      <xdr:col>1</xdr:col>
      <xdr:colOff>723901</xdr:colOff>
      <xdr:row>63</xdr:row>
      <xdr:rowOff>38100</xdr:rowOff>
    </xdr:from>
    <xdr:to>
      <xdr:col>2</xdr:col>
      <xdr:colOff>476251</xdr:colOff>
      <xdr:row>64</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28701" y="10801350"/>
          <a:ext cx="838200" cy="285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409575</xdr:colOff>
      <xdr:row>62</xdr:row>
      <xdr:rowOff>123824</xdr:rowOff>
    </xdr:from>
    <xdr:to>
      <xdr:col>6</xdr:col>
      <xdr:colOff>809625</xdr:colOff>
      <xdr:row>66</xdr:row>
      <xdr:rowOff>76199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057775" y="10706099"/>
          <a:ext cx="1485900" cy="6762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53</xdr:row>
      <xdr:rowOff>24849</xdr:rowOff>
    </xdr:from>
    <xdr:to>
      <xdr:col>5</xdr:col>
      <xdr:colOff>869674</xdr:colOff>
      <xdr:row>63</xdr:row>
      <xdr:rowOff>14082</xdr:rowOff>
    </xdr:to>
    <xdr:sp macro="" textlink="">
      <xdr:nvSpPr>
        <xdr:cNvPr id="20" name="フリーフォーム 19">
          <a:extLst>
            <a:ext uri="{FF2B5EF4-FFF2-40B4-BE49-F238E27FC236}">
              <a16:creationId xmlns:a16="http://schemas.microsoft.com/office/drawing/2014/main" id="{00000000-0008-0000-0000-000014000000}"/>
            </a:ext>
          </a:extLst>
        </xdr:cNvPr>
        <xdr:cNvSpPr/>
      </xdr:nvSpPr>
      <xdr:spPr>
        <a:xfrm>
          <a:off x="1420053" y="9773479"/>
          <a:ext cx="4096164" cy="1811407"/>
        </a:xfrm>
        <a:custGeom>
          <a:avLst/>
          <a:gdLst>
            <a:gd name="connsiteX0" fmla="*/ 0 w 4810125"/>
            <a:gd name="connsiteY0" fmla="*/ 1800225 h 1800225"/>
            <a:gd name="connsiteX1" fmla="*/ 0 w 4810125"/>
            <a:gd name="connsiteY1" fmla="*/ 923925 h 1800225"/>
            <a:gd name="connsiteX2" fmla="*/ 4810125 w 4810125"/>
            <a:gd name="connsiteY2" fmla="*/ 923925 h 1800225"/>
            <a:gd name="connsiteX3" fmla="*/ 4810125 w 4810125"/>
            <a:gd name="connsiteY3" fmla="*/ 0 h 1800225"/>
          </a:gdLst>
          <a:ahLst/>
          <a:cxnLst>
            <a:cxn ang="0">
              <a:pos x="connsiteX0" y="connsiteY0"/>
            </a:cxn>
            <a:cxn ang="0">
              <a:pos x="connsiteX1" y="connsiteY1"/>
            </a:cxn>
            <a:cxn ang="0">
              <a:pos x="connsiteX2" y="connsiteY2"/>
            </a:cxn>
            <a:cxn ang="0">
              <a:pos x="connsiteX3" y="connsiteY3"/>
            </a:cxn>
          </a:cxnLst>
          <a:rect l="l" t="t" r="r" b="b"/>
          <a:pathLst>
            <a:path w="4810125" h="1800225">
              <a:moveTo>
                <a:pt x="0" y="1800225"/>
              </a:moveTo>
              <a:lnTo>
                <a:pt x="0" y="923925"/>
              </a:lnTo>
              <a:lnTo>
                <a:pt x="4810125" y="923925"/>
              </a:lnTo>
              <a:lnTo>
                <a:pt x="4810125" y="0"/>
              </a:lnTo>
            </a:path>
          </a:pathLst>
        </a:custGeom>
        <a:noFill/>
        <a:ln w="254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52</xdr:row>
      <xdr:rowOff>152400</xdr:rowOff>
    </xdr:from>
    <xdr:to>
      <xdr:col>6</xdr:col>
      <xdr:colOff>604631</xdr:colOff>
      <xdr:row>62</xdr:row>
      <xdr:rowOff>142875</xdr:rowOff>
    </xdr:to>
    <xdr:sp macro="" textlink="">
      <xdr:nvSpPr>
        <xdr:cNvPr id="22" name="フリーフォーム 21">
          <a:extLst>
            <a:ext uri="{FF2B5EF4-FFF2-40B4-BE49-F238E27FC236}">
              <a16:creationId xmlns:a16="http://schemas.microsoft.com/office/drawing/2014/main" id="{00000000-0008-0000-0000-000016000000}"/>
            </a:ext>
          </a:extLst>
        </xdr:cNvPr>
        <xdr:cNvSpPr/>
      </xdr:nvSpPr>
      <xdr:spPr>
        <a:xfrm>
          <a:off x="5779190" y="9718813"/>
          <a:ext cx="557006" cy="1812649"/>
        </a:xfrm>
        <a:custGeom>
          <a:avLst/>
          <a:gdLst>
            <a:gd name="connsiteX0" fmla="*/ 0 w 1276350"/>
            <a:gd name="connsiteY0" fmla="*/ 1657350 h 1657350"/>
            <a:gd name="connsiteX1" fmla="*/ 0 w 1276350"/>
            <a:gd name="connsiteY1" fmla="*/ 1209675 h 1657350"/>
            <a:gd name="connsiteX2" fmla="*/ 1276350 w 1276350"/>
            <a:gd name="connsiteY2" fmla="*/ 1209675 h 1657350"/>
            <a:gd name="connsiteX3" fmla="*/ 1276350 w 1276350"/>
            <a:gd name="connsiteY3" fmla="*/ 0 h 1657350"/>
          </a:gdLst>
          <a:ahLst/>
          <a:cxnLst>
            <a:cxn ang="0">
              <a:pos x="connsiteX0" y="connsiteY0"/>
            </a:cxn>
            <a:cxn ang="0">
              <a:pos x="connsiteX1" y="connsiteY1"/>
            </a:cxn>
            <a:cxn ang="0">
              <a:pos x="connsiteX2" y="connsiteY2"/>
            </a:cxn>
            <a:cxn ang="0">
              <a:pos x="connsiteX3" y="connsiteY3"/>
            </a:cxn>
          </a:cxnLst>
          <a:rect l="l" t="t" r="r" b="b"/>
          <a:pathLst>
            <a:path w="1276350" h="1657350">
              <a:moveTo>
                <a:pt x="0" y="1657350"/>
              </a:moveTo>
              <a:lnTo>
                <a:pt x="0" y="1209675"/>
              </a:lnTo>
              <a:lnTo>
                <a:pt x="1276350" y="1209675"/>
              </a:lnTo>
              <a:lnTo>
                <a:pt x="1276350" y="0"/>
              </a:lnTo>
            </a:path>
          </a:pathLst>
        </a:custGeom>
        <a:noFill/>
        <a:ln w="254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709867</xdr:colOff>
      <xdr:row>66</xdr:row>
      <xdr:rowOff>126673</xdr:rowOff>
    </xdr:from>
    <xdr:to>
      <xdr:col>4</xdr:col>
      <xdr:colOff>287454</xdr:colOff>
      <xdr:row>77</xdr:row>
      <xdr:rowOff>86445</xdr:rowOff>
    </xdr:to>
    <xdr:sp macro="" textlink="">
      <xdr:nvSpPr>
        <xdr:cNvPr id="32" name="角丸四角形吹き出し 31">
          <a:extLst>
            <a:ext uri="{FF2B5EF4-FFF2-40B4-BE49-F238E27FC236}">
              <a16:creationId xmlns:a16="http://schemas.microsoft.com/office/drawing/2014/main" id="{00000000-0008-0000-0000-000020000000}"/>
            </a:ext>
          </a:extLst>
        </xdr:cNvPr>
        <xdr:cNvSpPr/>
      </xdr:nvSpPr>
      <xdr:spPr>
        <a:xfrm>
          <a:off x="1012426" y="12060938"/>
          <a:ext cx="2838499" cy="1932007"/>
        </a:xfrm>
        <a:prstGeom prst="wedgeRoundRectCallout">
          <a:avLst>
            <a:gd name="adj1" fmla="val -35673"/>
            <a:gd name="adj2" fmla="val -72935"/>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0000FF"/>
              </a:solidFill>
              <a:effectLst/>
              <a:latin typeface="+mn-lt"/>
              <a:ea typeface="+mn-ea"/>
              <a:cs typeface="+mn-cs"/>
            </a:rPr>
            <a:t>③給与収入</a:t>
          </a:r>
          <a:r>
            <a:rPr lang="ja-JP" altLang="en-US" sz="1100" b="0" i="0" u="none" strike="noStrike">
              <a:solidFill>
                <a:schemeClr val="lt1"/>
              </a:solidFill>
              <a:effectLst/>
              <a:latin typeface="+mn-lt"/>
              <a:ea typeface="+mn-ea"/>
              <a:cs typeface="+mn-cs"/>
            </a:rPr>
            <a:t>★　入　力　例　☆</a:t>
          </a:r>
          <a:r>
            <a:rPr lang="ja-JP" altLang="en-US" sz="1600"/>
            <a:t> </a:t>
          </a:r>
          <a:endParaRPr kumimoji="1" lang="en-US" altLang="ja-JP" sz="1600">
            <a:solidFill>
              <a:srgbClr val="0000FF"/>
            </a:solidFill>
          </a:endParaRPr>
        </a:p>
        <a:p>
          <a:pPr algn="l"/>
          <a:r>
            <a:rPr kumimoji="1" lang="ja-JP" altLang="en-US" sz="1600">
              <a:solidFill>
                <a:schemeClr val="tx1"/>
              </a:solidFill>
            </a:rPr>
            <a:t>・令和</a:t>
          </a:r>
          <a:r>
            <a:rPr kumimoji="1" lang="ja-JP" altLang="en-US" sz="1600" u="none">
              <a:solidFill>
                <a:sysClr val="windowText" lastClr="000000"/>
              </a:solidFill>
            </a:rPr>
            <a:t>４</a:t>
          </a:r>
          <a:r>
            <a:rPr kumimoji="1" lang="ja-JP" altLang="en-US" sz="1600">
              <a:solidFill>
                <a:schemeClr val="tx1"/>
              </a:solidFill>
            </a:rPr>
            <a:t>年分　給与所得の源泉徴収票の</a:t>
          </a:r>
          <a:r>
            <a:rPr kumimoji="1" lang="ja-JP" altLang="en-US" sz="1600" b="1">
              <a:solidFill>
                <a:schemeClr val="tx1"/>
              </a:solidFill>
            </a:rPr>
            <a:t>「支払金額」</a:t>
          </a:r>
          <a:r>
            <a:rPr kumimoji="1" lang="ja-JP" altLang="en-US" sz="1600">
              <a:solidFill>
                <a:schemeClr val="tx1"/>
              </a:solidFill>
            </a:rPr>
            <a:t>に記載されている金額を入力してください。</a:t>
          </a:r>
          <a:endParaRPr kumimoji="1" lang="en-US" altLang="ja-JP" sz="1600">
            <a:solidFill>
              <a:schemeClr val="tx1"/>
            </a:solidFill>
          </a:endParaRPr>
        </a:p>
        <a:p>
          <a:pPr algn="l"/>
          <a:r>
            <a:rPr kumimoji="1" lang="en-US" altLang="ja-JP" sz="1050">
              <a:solidFill>
                <a:schemeClr val="tx1"/>
              </a:solidFill>
            </a:rPr>
            <a:t>※</a:t>
          </a:r>
          <a:r>
            <a:rPr kumimoji="1" lang="ja-JP" altLang="en-US" sz="1050">
              <a:solidFill>
                <a:schemeClr val="tx1"/>
              </a:solidFill>
            </a:rPr>
            <a:t>複数ある場合は合計額を入力</a:t>
          </a:r>
        </a:p>
      </xdr:txBody>
    </xdr:sp>
    <xdr:clientData/>
  </xdr:twoCellAnchor>
  <xdr:twoCellAnchor>
    <xdr:from>
      <xdr:col>5</xdr:col>
      <xdr:colOff>264458</xdr:colOff>
      <xdr:row>68</xdr:row>
      <xdr:rowOff>18409</xdr:rowOff>
    </xdr:from>
    <xdr:to>
      <xdr:col>7</xdr:col>
      <xdr:colOff>758101</xdr:colOff>
      <xdr:row>77</xdr:row>
      <xdr:rowOff>27284</xdr:rowOff>
    </xdr:to>
    <xdr:sp macro="" textlink="">
      <xdr:nvSpPr>
        <xdr:cNvPr id="33" name="角丸四角形吹き出し 32">
          <a:extLst>
            <a:ext uri="{FF2B5EF4-FFF2-40B4-BE49-F238E27FC236}">
              <a16:creationId xmlns:a16="http://schemas.microsoft.com/office/drawing/2014/main" id="{00000000-0008-0000-0000-000021000000}"/>
            </a:ext>
          </a:extLst>
        </xdr:cNvPr>
        <xdr:cNvSpPr/>
      </xdr:nvSpPr>
      <xdr:spPr>
        <a:xfrm>
          <a:off x="4914899" y="12311262"/>
          <a:ext cx="2667584" cy="1622522"/>
        </a:xfrm>
        <a:prstGeom prst="wedgeRoundRectCallout">
          <a:avLst>
            <a:gd name="adj1" fmla="val -21652"/>
            <a:gd name="adj2" fmla="val -76641"/>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0000FF"/>
              </a:solidFill>
              <a:effectLst/>
              <a:latin typeface="+mn-lt"/>
              <a:ea typeface="+mn-ea"/>
              <a:cs typeface="+mn-cs"/>
            </a:rPr>
            <a:t>④年金</a:t>
          </a:r>
          <a:r>
            <a:rPr kumimoji="1" lang="ja-JP" altLang="ja-JP" sz="1600" b="1">
              <a:solidFill>
                <a:srgbClr val="0000FF"/>
              </a:solidFill>
              <a:effectLst/>
              <a:latin typeface="+mn-lt"/>
              <a:ea typeface="+mn-ea"/>
              <a:cs typeface="+mn-cs"/>
            </a:rPr>
            <a:t>収入</a:t>
          </a:r>
          <a:endParaRPr kumimoji="1" lang="en-US" altLang="ja-JP" sz="1600">
            <a:solidFill>
              <a:srgbClr val="0000FF"/>
            </a:solidFill>
          </a:endParaRPr>
        </a:p>
        <a:p>
          <a:pPr algn="l"/>
          <a:r>
            <a:rPr kumimoji="1" lang="ja-JP" altLang="en-US" sz="1400">
              <a:solidFill>
                <a:schemeClr val="tx1"/>
              </a:solidFill>
            </a:rPr>
            <a:t>令和</a:t>
          </a:r>
          <a:r>
            <a:rPr kumimoji="1" lang="ja-JP" altLang="en-US" sz="1400" u="none">
              <a:solidFill>
                <a:sysClr val="windowText" lastClr="000000"/>
              </a:solidFill>
            </a:rPr>
            <a:t>４</a:t>
          </a:r>
          <a:r>
            <a:rPr kumimoji="1" lang="ja-JP" altLang="en-US" sz="1400">
              <a:solidFill>
                <a:schemeClr val="tx1"/>
              </a:solidFill>
            </a:rPr>
            <a:t>年分　公的年金等の源泉徴収票の</a:t>
          </a:r>
          <a:r>
            <a:rPr kumimoji="1" lang="ja-JP" altLang="en-US" sz="1400" b="1">
              <a:solidFill>
                <a:schemeClr val="tx1"/>
              </a:solidFill>
            </a:rPr>
            <a:t>「支払金額」</a:t>
          </a:r>
          <a:r>
            <a:rPr kumimoji="1" lang="ja-JP" altLang="en-US" sz="1400">
              <a:solidFill>
                <a:schemeClr val="tx1"/>
              </a:solidFill>
            </a:rPr>
            <a:t>に記載されている金額を入力してください。</a:t>
          </a:r>
          <a:endParaRPr kumimoji="1" lang="en-US" altLang="ja-JP" sz="1400">
            <a:solidFill>
              <a:schemeClr val="tx1"/>
            </a:solidFill>
          </a:endParaRPr>
        </a:p>
        <a:p>
          <a:pPr algn="l"/>
          <a:r>
            <a:rPr kumimoji="1" lang="en-US" altLang="ja-JP" sz="1050">
              <a:solidFill>
                <a:schemeClr val="tx1"/>
              </a:solidFill>
            </a:rPr>
            <a:t>※</a:t>
          </a:r>
          <a:r>
            <a:rPr kumimoji="1" lang="ja-JP" altLang="en-US" sz="1050">
              <a:solidFill>
                <a:schemeClr val="tx1"/>
              </a:solidFill>
            </a:rPr>
            <a:t>複数ある場合は合計額を入力</a:t>
          </a:r>
        </a:p>
      </xdr:txBody>
    </xdr:sp>
    <xdr:clientData/>
  </xdr:twoCellAnchor>
  <xdr:twoCellAnchor>
    <xdr:from>
      <xdr:col>8</xdr:col>
      <xdr:colOff>556101</xdr:colOff>
      <xdr:row>40</xdr:row>
      <xdr:rowOff>26340</xdr:rowOff>
    </xdr:from>
    <xdr:to>
      <xdr:col>10</xdr:col>
      <xdr:colOff>1045381</xdr:colOff>
      <xdr:row>61</xdr:row>
      <xdr:rowOff>29032</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a:srcRect l="28324" t="14162" r="27921" b="5018"/>
        <a:stretch/>
      </xdr:blipFill>
      <xdr:spPr>
        <a:xfrm>
          <a:off x="8467454" y="7298958"/>
          <a:ext cx="2663221" cy="3767868"/>
        </a:xfrm>
        <a:prstGeom prst="rect">
          <a:avLst/>
        </a:prstGeom>
        <a:ln>
          <a:solidFill>
            <a:schemeClr val="tx1"/>
          </a:solidFill>
        </a:ln>
      </xdr:spPr>
    </xdr:pic>
    <xdr:clientData/>
  </xdr:twoCellAnchor>
  <xdr:twoCellAnchor>
    <xdr:from>
      <xdr:col>9</xdr:col>
      <xdr:colOff>804901</xdr:colOff>
      <xdr:row>51</xdr:row>
      <xdr:rowOff>27822</xdr:rowOff>
    </xdr:from>
    <xdr:to>
      <xdr:col>15</xdr:col>
      <xdr:colOff>616325</xdr:colOff>
      <xdr:row>70</xdr:row>
      <xdr:rowOff>55949</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5"/>
        <a:srcRect l="26114" t="13674" r="25747" b="3113"/>
        <a:stretch/>
      </xdr:blipFill>
      <xdr:spPr>
        <a:xfrm>
          <a:off x="9803225" y="9272675"/>
          <a:ext cx="2971482" cy="3434715"/>
        </a:xfrm>
        <a:prstGeom prst="rect">
          <a:avLst/>
        </a:prstGeom>
        <a:ln>
          <a:solidFill>
            <a:schemeClr val="tx1"/>
          </a:solidFill>
        </a:ln>
      </xdr:spPr>
    </xdr:pic>
    <xdr:clientData/>
  </xdr:twoCellAnchor>
  <xdr:twoCellAnchor>
    <xdr:from>
      <xdr:col>8</xdr:col>
      <xdr:colOff>661830</xdr:colOff>
      <xdr:row>48</xdr:row>
      <xdr:rowOff>174641</xdr:rowOff>
    </xdr:from>
    <xdr:to>
      <xdr:col>9</xdr:col>
      <xdr:colOff>756047</xdr:colOff>
      <xdr:row>51</xdr:row>
      <xdr:rowOff>65485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8573183" y="8881612"/>
          <a:ext cx="1181188" cy="42872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680358</xdr:colOff>
      <xdr:row>52</xdr:row>
      <xdr:rowOff>35719</xdr:rowOff>
    </xdr:from>
    <xdr:to>
      <xdr:col>9</xdr:col>
      <xdr:colOff>756049</xdr:colOff>
      <xdr:row>53</xdr:row>
      <xdr:rowOff>38100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8591711" y="9459866"/>
          <a:ext cx="1162662" cy="1816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939555</xdr:colOff>
      <xdr:row>60</xdr:row>
      <xdr:rowOff>75094</xdr:rowOff>
    </xdr:from>
    <xdr:to>
      <xdr:col>14</xdr:col>
      <xdr:colOff>20053</xdr:colOff>
      <xdr:row>64</xdr:row>
      <xdr:rowOff>161925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9948200" y="10998765"/>
          <a:ext cx="1341432" cy="80872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655727</xdr:colOff>
      <xdr:row>53</xdr:row>
      <xdr:rowOff>92528</xdr:rowOff>
    </xdr:from>
    <xdr:to>
      <xdr:col>9</xdr:col>
      <xdr:colOff>750094</xdr:colOff>
      <xdr:row>54</xdr:row>
      <xdr:rowOff>102393</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567080" y="9695969"/>
          <a:ext cx="1181338" cy="189159"/>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58570</xdr:colOff>
      <xdr:row>38</xdr:row>
      <xdr:rowOff>45799</xdr:rowOff>
    </xdr:from>
    <xdr:to>
      <xdr:col>6</xdr:col>
      <xdr:colOff>401949</xdr:colOff>
      <xdr:row>44</xdr:row>
      <xdr:rowOff>138369</xdr:rowOff>
    </xdr:to>
    <xdr:sp macro="" textlink="">
      <xdr:nvSpPr>
        <xdr:cNvPr id="38" name="角丸四角形吹き出し 37">
          <a:extLst>
            <a:ext uri="{FF2B5EF4-FFF2-40B4-BE49-F238E27FC236}">
              <a16:creationId xmlns:a16="http://schemas.microsoft.com/office/drawing/2014/main" id="{00000000-0008-0000-0000-000026000000}"/>
            </a:ext>
          </a:extLst>
        </xdr:cNvPr>
        <xdr:cNvSpPr/>
      </xdr:nvSpPr>
      <xdr:spPr>
        <a:xfrm>
          <a:off x="58570" y="7061169"/>
          <a:ext cx="6074944" cy="1185874"/>
        </a:xfrm>
        <a:prstGeom prst="wedgeRoundRectCallout">
          <a:avLst>
            <a:gd name="adj1" fmla="val -10260"/>
            <a:gd name="adj2" fmla="val 72493"/>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FF"/>
              </a:solidFill>
            </a:rPr>
            <a:t>①加入</a:t>
          </a:r>
          <a:endParaRPr kumimoji="1" lang="en-US" altLang="ja-JP" sz="1200" b="1">
            <a:solidFill>
              <a:srgbClr val="0000FF"/>
            </a:solidFill>
          </a:endParaRPr>
        </a:p>
        <a:p>
          <a:pPr algn="l"/>
          <a:r>
            <a:rPr kumimoji="1" lang="ja-JP" altLang="en-US" sz="1200">
              <a:solidFill>
                <a:schemeClr val="tx1"/>
              </a:solidFill>
            </a:rPr>
            <a:t>・世帯主は、加入する場合「〇」、加入しない場合は「</a:t>
          </a:r>
          <a:r>
            <a:rPr kumimoji="1" lang="en-US" altLang="ja-JP" sz="1200">
              <a:solidFill>
                <a:schemeClr val="tx1"/>
              </a:solidFill>
            </a:rPr>
            <a:t>×</a:t>
          </a:r>
          <a:r>
            <a:rPr kumimoji="1" lang="ja-JP" altLang="en-US" sz="1200">
              <a:solidFill>
                <a:schemeClr val="tx1"/>
              </a:solidFill>
            </a:rPr>
            <a:t>」を入力してください。</a:t>
          </a:r>
          <a:endParaRPr kumimoji="1" lang="en-US" altLang="ja-JP" sz="12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世帯主は入力必須</a:t>
          </a:r>
          <a:endParaRPr lang="ja-JP" altLang="ja-JP" sz="1050">
            <a:solidFill>
              <a:schemeClr val="tx1"/>
            </a:solidFill>
            <a:effectLst/>
          </a:endParaRPr>
        </a:p>
        <a:p>
          <a:pPr algn="l"/>
          <a:r>
            <a:rPr kumimoji="1" lang="ja-JP" altLang="en-US" sz="1200">
              <a:solidFill>
                <a:schemeClr val="tx1"/>
              </a:solidFill>
            </a:rPr>
            <a:t>・その他世帯員は、加入する方のみ「〇」を入力してください。</a:t>
          </a:r>
        </a:p>
      </xdr:txBody>
    </xdr:sp>
    <xdr:clientData/>
  </xdr:twoCellAnchor>
  <xdr:twoCellAnchor>
    <xdr:from>
      <xdr:col>6</xdr:col>
      <xdr:colOff>699967</xdr:colOff>
      <xdr:row>38</xdr:row>
      <xdr:rowOff>112061</xdr:rowOff>
    </xdr:from>
    <xdr:to>
      <xdr:col>9</xdr:col>
      <xdr:colOff>863873</xdr:colOff>
      <xdr:row>44</xdr:row>
      <xdr:rowOff>74543</xdr:rowOff>
    </xdr:to>
    <xdr:sp macro="" textlink="">
      <xdr:nvSpPr>
        <xdr:cNvPr id="41" name="角丸四角形吹き出し 40">
          <a:extLst>
            <a:ext uri="{FF2B5EF4-FFF2-40B4-BE49-F238E27FC236}">
              <a16:creationId xmlns:a16="http://schemas.microsoft.com/office/drawing/2014/main" id="{00000000-0008-0000-0000-000029000000}"/>
            </a:ext>
          </a:extLst>
        </xdr:cNvPr>
        <xdr:cNvSpPr/>
      </xdr:nvSpPr>
      <xdr:spPr>
        <a:xfrm>
          <a:off x="6431532" y="7127431"/>
          <a:ext cx="3418971" cy="1055786"/>
        </a:xfrm>
        <a:prstGeom prst="wedgeRoundRectCallout">
          <a:avLst>
            <a:gd name="adj1" fmla="val -112675"/>
            <a:gd name="adj2" fmla="val 75974"/>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FF"/>
              </a:solidFill>
            </a:rPr>
            <a:t>②生年月日</a:t>
          </a:r>
          <a:endParaRPr kumimoji="1" lang="en-US" altLang="ja-JP" sz="1200" b="1">
            <a:solidFill>
              <a:srgbClr val="0000FF"/>
            </a:solidFill>
          </a:endParaRPr>
        </a:p>
        <a:p>
          <a:pPr algn="l"/>
          <a:r>
            <a:rPr kumimoji="1" lang="ja-JP" altLang="en-US" sz="1200">
              <a:solidFill>
                <a:schemeClr val="tx1"/>
              </a:solidFill>
            </a:rPr>
            <a:t>・年（西暦）、月、日を入力してください。</a:t>
          </a:r>
          <a:endParaRPr kumimoji="1" lang="en-US" altLang="ja-JP" sz="1200">
            <a:solidFill>
              <a:schemeClr val="tx1"/>
            </a:solidFill>
          </a:endParaRPr>
        </a:p>
        <a:p>
          <a:pPr algn="l"/>
          <a:r>
            <a:rPr kumimoji="1" lang="en-US" altLang="ja-JP" sz="1050" b="1">
              <a:solidFill>
                <a:schemeClr val="tx1"/>
              </a:solidFill>
            </a:rPr>
            <a:t>※</a:t>
          </a:r>
          <a:r>
            <a:rPr kumimoji="1" lang="ja-JP" altLang="en-US" sz="1050" b="1">
              <a:solidFill>
                <a:schemeClr val="tx1"/>
              </a:solidFill>
            </a:rPr>
            <a:t>世帯主は入力必須</a:t>
          </a:r>
          <a:endParaRPr kumimoji="1" lang="en-US" altLang="ja-JP" sz="1050" b="0" strike="dblStrike" baseline="0">
            <a:solidFill>
              <a:srgbClr val="FF0000"/>
            </a:solidFill>
          </a:endParaRPr>
        </a:p>
      </xdr:txBody>
    </xdr:sp>
    <xdr:clientData/>
  </xdr:twoCellAnchor>
  <xdr:twoCellAnchor>
    <xdr:from>
      <xdr:col>10</xdr:col>
      <xdr:colOff>873901</xdr:colOff>
      <xdr:row>38</xdr:row>
      <xdr:rowOff>171620</xdr:rowOff>
    </xdr:from>
    <xdr:to>
      <xdr:col>14</xdr:col>
      <xdr:colOff>73269</xdr:colOff>
      <xdr:row>42</xdr:row>
      <xdr:rowOff>1852</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0941093" y="7220120"/>
          <a:ext cx="371676" cy="56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100" b="1">
              <a:solidFill>
                <a:schemeClr val="tx1"/>
              </a:solidFill>
              <a:latin typeface="+mj-ea"/>
              <a:ea typeface="+mj-ea"/>
            </a:rPr>
            <a:t>第一表</a:t>
          </a:r>
        </a:p>
      </xdr:txBody>
    </xdr:sp>
    <xdr:clientData/>
  </xdr:twoCellAnchor>
  <xdr:twoCellAnchor>
    <xdr:from>
      <xdr:col>15</xdr:col>
      <xdr:colOff>316712</xdr:colOff>
      <xdr:row>50</xdr:row>
      <xdr:rowOff>52960</xdr:rowOff>
    </xdr:from>
    <xdr:to>
      <xdr:col>15</xdr:col>
      <xdr:colOff>674961</xdr:colOff>
      <xdr:row>53</xdr:row>
      <xdr:rowOff>62486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2450097" y="9299537"/>
          <a:ext cx="358249" cy="559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100" b="1">
              <a:solidFill>
                <a:schemeClr val="tx1"/>
              </a:solidFill>
              <a:latin typeface="+mj-ea"/>
              <a:ea typeface="+mj-ea"/>
            </a:rPr>
            <a:t>第三表</a:t>
          </a:r>
        </a:p>
      </xdr:txBody>
    </xdr:sp>
    <xdr:clientData/>
  </xdr:twoCellAnchor>
  <xdr:twoCellAnchor>
    <xdr:from>
      <xdr:col>5</xdr:col>
      <xdr:colOff>435428</xdr:colOff>
      <xdr:row>80</xdr:row>
      <xdr:rowOff>40821</xdr:rowOff>
    </xdr:from>
    <xdr:to>
      <xdr:col>6</xdr:col>
      <xdr:colOff>372676</xdr:colOff>
      <xdr:row>83</xdr:row>
      <xdr:rowOff>215791</xdr:rowOff>
    </xdr:to>
    <xdr:sp macro="" textlink="">
      <xdr:nvSpPr>
        <xdr:cNvPr id="36" name="下矢印 35">
          <a:extLst>
            <a:ext uri="{FF2B5EF4-FFF2-40B4-BE49-F238E27FC236}">
              <a16:creationId xmlns:a16="http://schemas.microsoft.com/office/drawing/2014/main" id="{00000000-0008-0000-0000-000024000000}"/>
            </a:ext>
          </a:extLst>
        </xdr:cNvPr>
        <xdr:cNvSpPr/>
      </xdr:nvSpPr>
      <xdr:spPr>
        <a:xfrm>
          <a:off x="5159828" y="15357021"/>
          <a:ext cx="1042148" cy="7464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981076</xdr:colOff>
      <xdr:row>48</xdr:row>
      <xdr:rowOff>76200</xdr:rowOff>
    </xdr:from>
    <xdr:to>
      <xdr:col>15</xdr:col>
      <xdr:colOff>234461</xdr:colOff>
      <xdr:row>60</xdr:row>
      <xdr:rowOff>31505</xdr:rowOff>
    </xdr:to>
    <xdr:sp macro="" textlink="">
      <xdr:nvSpPr>
        <xdr:cNvPr id="39" name="角丸四角形吹き出し 38">
          <a:extLst>
            <a:ext uri="{FF2B5EF4-FFF2-40B4-BE49-F238E27FC236}">
              <a16:creationId xmlns:a16="http://schemas.microsoft.com/office/drawing/2014/main" id="{00000000-0008-0000-0000-000027000000}"/>
            </a:ext>
          </a:extLst>
        </xdr:cNvPr>
        <xdr:cNvSpPr/>
      </xdr:nvSpPr>
      <xdr:spPr>
        <a:xfrm>
          <a:off x="9963884" y="8956431"/>
          <a:ext cx="2403962" cy="2153382"/>
        </a:xfrm>
        <a:prstGeom prst="wedgeRoundRectCallout">
          <a:avLst>
            <a:gd name="adj1" fmla="val -66708"/>
            <a:gd name="adj2" fmla="val -13068"/>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chemeClr val="tx1"/>
            </a:solidFill>
          </a:endParaRPr>
        </a:p>
      </xdr:txBody>
    </xdr:sp>
    <xdr:clientData/>
  </xdr:twoCellAnchor>
  <xdr:twoCellAnchor>
    <xdr:from>
      <xdr:col>9</xdr:col>
      <xdr:colOff>981076</xdr:colOff>
      <xdr:row>48</xdr:row>
      <xdr:rowOff>66675</xdr:rowOff>
    </xdr:from>
    <xdr:to>
      <xdr:col>15</xdr:col>
      <xdr:colOff>227134</xdr:colOff>
      <xdr:row>60</xdr:row>
      <xdr:rowOff>21980</xdr:rowOff>
    </xdr:to>
    <xdr:sp macro="" textlink="">
      <xdr:nvSpPr>
        <xdr:cNvPr id="40" name="角丸四角形吹き出し 39">
          <a:extLst>
            <a:ext uri="{FF2B5EF4-FFF2-40B4-BE49-F238E27FC236}">
              <a16:creationId xmlns:a16="http://schemas.microsoft.com/office/drawing/2014/main" id="{00000000-0008-0000-0000-000028000000}"/>
            </a:ext>
          </a:extLst>
        </xdr:cNvPr>
        <xdr:cNvSpPr/>
      </xdr:nvSpPr>
      <xdr:spPr>
        <a:xfrm>
          <a:off x="9963884" y="8946906"/>
          <a:ext cx="2396635" cy="2153382"/>
        </a:xfrm>
        <a:prstGeom prst="wedgeRoundRectCallout">
          <a:avLst>
            <a:gd name="adj1" fmla="val -61463"/>
            <a:gd name="adj2" fmla="val 114"/>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chemeClr val="tx1"/>
            </a:solidFill>
          </a:endParaRPr>
        </a:p>
      </xdr:txBody>
    </xdr:sp>
    <xdr:clientData/>
  </xdr:twoCellAnchor>
  <xdr:twoCellAnchor>
    <xdr:from>
      <xdr:col>9</xdr:col>
      <xdr:colOff>990601</xdr:colOff>
      <xdr:row>48</xdr:row>
      <xdr:rowOff>76200</xdr:rowOff>
    </xdr:from>
    <xdr:to>
      <xdr:col>15</xdr:col>
      <xdr:colOff>234461</xdr:colOff>
      <xdr:row>60</xdr:row>
      <xdr:rowOff>31505</xdr:rowOff>
    </xdr:to>
    <xdr:sp macro="" textlink="">
      <xdr:nvSpPr>
        <xdr:cNvPr id="42" name="角丸四角形吹き出し 41">
          <a:extLst>
            <a:ext uri="{FF2B5EF4-FFF2-40B4-BE49-F238E27FC236}">
              <a16:creationId xmlns:a16="http://schemas.microsoft.com/office/drawing/2014/main" id="{00000000-0008-0000-0000-00002A000000}"/>
            </a:ext>
          </a:extLst>
        </xdr:cNvPr>
        <xdr:cNvSpPr/>
      </xdr:nvSpPr>
      <xdr:spPr>
        <a:xfrm>
          <a:off x="9973409" y="8956431"/>
          <a:ext cx="2394437" cy="2153382"/>
        </a:xfrm>
        <a:prstGeom prst="wedgeRoundRectCallout">
          <a:avLst>
            <a:gd name="adj1" fmla="val -32054"/>
            <a:gd name="adj2" fmla="val 57434"/>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chemeClr val="tx1"/>
            </a:solidFill>
          </a:endParaRPr>
        </a:p>
      </xdr:txBody>
    </xdr:sp>
    <xdr:clientData/>
  </xdr:twoCellAnchor>
  <xdr:twoCellAnchor>
    <xdr:from>
      <xdr:col>9</xdr:col>
      <xdr:colOff>981806</xdr:colOff>
      <xdr:row>48</xdr:row>
      <xdr:rowOff>66675</xdr:rowOff>
    </xdr:from>
    <xdr:to>
      <xdr:col>15</xdr:col>
      <xdr:colOff>227134</xdr:colOff>
      <xdr:row>60</xdr:row>
      <xdr:rowOff>21980</xdr:rowOff>
    </xdr:to>
    <xdr:sp macro="" textlink="">
      <xdr:nvSpPr>
        <xdr:cNvPr id="34" name="角丸四角形吹き出し 33">
          <a:extLst>
            <a:ext uri="{FF2B5EF4-FFF2-40B4-BE49-F238E27FC236}">
              <a16:creationId xmlns:a16="http://schemas.microsoft.com/office/drawing/2014/main" id="{00000000-0008-0000-0000-000022000000}"/>
            </a:ext>
          </a:extLst>
        </xdr:cNvPr>
        <xdr:cNvSpPr/>
      </xdr:nvSpPr>
      <xdr:spPr>
        <a:xfrm>
          <a:off x="9964614" y="8946906"/>
          <a:ext cx="2395905" cy="2153382"/>
        </a:xfrm>
        <a:prstGeom prst="wedgeRoundRectCallout">
          <a:avLst>
            <a:gd name="adj1" fmla="val -67518"/>
            <a:gd name="adj2" fmla="val -34815"/>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FF0000"/>
              </a:solidFill>
              <a:effectLst/>
              <a:latin typeface="+mn-lt"/>
              <a:ea typeface="+mn-ea"/>
              <a:cs typeface="+mn-cs"/>
            </a:rPr>
            <a:t>⑤その他の所得</a:t>
          </a:r>
          <a:endParaRPr kumimoji="1" lang="en-US" altLang="ja-JP" sz="1600" b="1">
            <a:solidFill>
              <a:srgbClr val="FF0000"/>
            </a:solidFill>
          </a:endParaRPr>
        </a:p>
        <a:p>
          <a:pPr algn="l"/>
          <a:r>
            <a:rPr kumimoji="1" lang="ja-JP" altLang="en-US" sz="1600">
              <a:solidFill>
                <a:schemeClr val="tx1"/>
              </a:solidFill>
            </a:rPr>
            <a:t>・確定申告書などに記載の「所得金額」の合計額を入力してください。</a:t>
          </a:r>
          <a:endParaRPr kumimoji="1" lang="en-US" altLang="ja-JP" sz="1600">
            <a:solidFill>
              <a:schemeClr val="tx1"/>
            </a:solidFill>
          </a:endParaRPr>
        </a:p>
        <a:p>
          <a:pPr algn="l"/>
          <a:r>
            <a:rPr kumimoji="1" lang="en-US" altLang="ja-JP" sz="900">
              <a:solidFill>
                <a:schemeClr val="tx1"/>
              </a:solidFill>
            </a:rPr>
            <a:t>※</a:t>
          </a:r>
          <a:r>
            <a:rPr kumimoji="1" lang="ja-JP" altLang="en-US" sz="900">
              <a:solidFill>
                <a:schemeClr val="tx1"/>
              </a:solidFill>
            </a:rPr>
            <a:t>給与所得、年金所得は除きます。</a:t>
          </a:r>
          <a:endParaRPr kumimoji="1" lang="en-US" altLang="ja-JP" sz="900">
            <a:solidFill>
              <a:schemeClr val="tx1"/>
            </a:solidFill>
          </a:endParaRPr>
        </a:p>
        <a:p>
          <a:pPr algn="l"/>
          <a:r>
            <a:rPr kumimoji="1" lang="en-US" altLang="ja-JP" sz="900">
              <a:solidFill>
                <a:schemeClr val="tx1"/>
              </a:solidFill>
            </a:rPr>
            <a:t>※</a:t>
          </a:r>
          <a:r>
            <a:rPr kumimoji="1" lang="ja-JP" altLang="en-US" sz="900">
              <a:solidFill>
                <a:schemeClr val="tx1"/>
              </a:solidFill>
            </a:rPr>
            <a:t>退職所得は含めない（雑所得の場合を除く）</a:t>
          </a:r>
        </a:p>
      </xdr:txBody>
    </xdr:sp>
    <xdr:clientData/>
  </xdr:twoCellAnchor>
  <xdr:twoCellAnchor>
    <xdr:from>
      <xdr:col>7</xdr:col>
      <xdr:colOff>728870</xdr:colOff>
      <xdr:row>52</xdr:row>
      <xdr:rowOff>89647</xdr:rowOff>
    </xdr:from>
    <xdr:to>
      <xdr:col>8</xdr:col>
      <xdr:colOff>470649</xdr:colOff>
      <xdr:row>52</xdr:row>
      <xdr:rowOff>89647</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7545457" y="9656060"/>
          <a:ext cx="826801"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145676</xdr:colOff>
      <xdr:row>5</xdr:row>
      <xdr:rowOff>100852</xdr:rowOff>
    </xdr:from>
    <xdr:to>
      <xdr:col>14</xdr:col>
      <xdr:colOff>733425</xdr:colOff>
      <xdr:row>30</xdr:row>
      <xdr:rowOff>149679</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45676" y="1100977"/>
          <a:ext cx="11836774" cy="4573202"/>
        </a:xfrm>
        <a:prstGeom prst="roundRect">
          <a:avLst>
            <a:gd name="adj" fmla="val 5434"/>
          </a:avLst>
        </a:prstGeom>
        <a:solidFill>
          <a:srgbClr val="FEF2E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HG創英角ｺﾞｼｯｸUB" panose="020B0909000000000000" pitchFamily="49" charset="-128"/>
              <a:ea typeface="HG創英角ｺﾞｼｯｸUB" panose="020B0909000000000000" pitchFamily="49" charset="-128"/>
            </a:rPr>
            <a:t>ご利用の前に、次の事項をご確認ください。</a:t>
          </a:r>
          <a:endParaRPr kumimoji="1" lang="en-US" altLang="ja-JP" sz="1400">
            <a:solidFill>
              <a:schemeClr val="tx1"/>
            </a:solidFill>
            <a:latin typeface="HG創英角ｺﾞｼｯｸUB" panose="020B0909000000000000" pitchFamily="49" charset="-128"/>
            <a:ea typeface="HG創英角ｺﾞｼｯｸUB" panose="020B0909000000000000" pitchFamily="49" charset="-128"/>
          </a:endParaRPr>
        </a:p>
        <a:p>
          <a:pPr algn="l"/>
          <a:endParaRPr kumimoji="1" lang="en-US" altLang="ja-JP" sz="1400">
            <a:solidFill>
              <a:schemeClr val="tx1"/>
            </a:solidFill>
          </a:endParaRPr>
        </a:p>
        <a:p>
          <a:pPr algn="l"/>
          <a:r>
            <a:rPr kumimoji="1" lang="ja-JP" altLang="en-US" sz="1400">
              <a:solidFill>
                <a:schemeClr val="tx1"/>
              </a:solidFill>
            </a:rPr>
            <a:t>　●　この試算シートによるシミュレーション結果は、４月から翌年３月まで１年間国保に加入した場合の年間保険税試算額です。</a:t>
          </a:r>
          <a:endParaRPr kumimoji="1" lang="en-US" altLang="ja-JP" sz="1400">
            <a:solidFill>
              <a:schemeClr val="tx1"/>
            </a:solidFill>
          </a:endParaRPr>
        </a:p>
        <a:p>
          <a:pPr algn="l"/>
          <a:r>
            <a:rPr kumimoji="1" lang="ja-JP" altLang="en-US" sz="1400">
              <a:solidFill>
                <a:schemeClr val="tx1"/>
              </a:solidFill>
            </a:rPr>
            <a:t>　　　あくまでも試算であり、実際の保険税額とは異なる場合があります。</a:t>
          </a:r>
          <a:endParaRPr kumimoji="1" lang="en-US" altLang="ja-JP" sz="14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　●　職場の健康保険の任意継続保険料との比較をする場合は、試算結果（年税額）を１２で割った額で比較してください。</a:t>
          </a:r>
          <a:endParaRPr kumimoji="1" lang="en-US" altLang="ja-JP" sz="1400">
            <a:solidFill>
              <a:schemeClr val="tx1"/>
            </a:solidFill>
          </a:endParaRPr>
        </a:p>
        <a:p>
          <a:pPr algn="l"/>
          <a:r>
            <a:rPr kumimoji="1" lang="ja-JP" altLang="en-US" sz="1400">
              <a:solidFill>
                <a:schemeClr val="tx1"/>
              </a:solidFill>
            </a:rPr>
            <a:t>　　</a:t>
          </a:r>
          <a:r>
            <a:rPr kumimoji="1" lang="ja-JP" altLang="en-US" sz="1400" baseline="0">
              <a:solidFill>
                <a:schemeClr val="tx1"/>
              </a:solidFill>
            </a:rPr>
            <a:t> </a:t>
          </a:r>
          <a:r>
            <a:rPr kumimoji="1" lang="en-US" altLang="ja-JP" sz="1400" baseline="0">
              <a:solidFill>
                <a:schemeClr val="tx1"/>
              </a:solidFill>
            </a:rPr>
            <a:t>※</a:t>
          </a:r>
          <a:r>
            <a:rPr kumimoji="1" lang="ja-JP" altLang="en-US" sz="1400" b="1" u="sng" baseline="0">
              <a:solidFill>
                <a:schemeClr val="tx1"/>
              </a:solidFill>
            </a:rPr>
            <a:t>１期あたりの納付額とは異なります</a:t>
          </a:r>
          <a:r>
            <a:rPr kumimoji="1" lang="ja-JP" altLang="en-US" sz="1400" baseline="0">
              <a:solidFill>
                <a:schemeClr val="tx1"/>
              </a:solidFill>
            </a:rPr>
            <a:t>。</a:t>
          </a:r>
          <a:endParaRPr kumimoji="1" lang="en-US" altLang="ja-JP" sz="1400" baseline="0">
            <a:solidFill>
              <a:schemeClr val="tx1"/>
            </a:solidFill>
          </a:endParaRPr>
        </a:p>
        <a:p>
          <a:pPr algn="l"/>
          <a:endParaRPr kumimoji="1" lang="en-US" altLang="ja-JP" sz="1400" baseline="0">
            <a:solidFill>
              <a:schemeClr val="tx1"/>
            </a:solidFill>
          </a:endParaRPr>
        </a:p>
        <a:p>
          <a:pPr algn="l"/>
          <a:r>
            <a:rPr kumimoji="1" lang="ja-JP" altLang="en-US" sz="1400" baseline="0">
              <a:solidFill>
                <a:schemeClr val="tx1"/>
              </a:solidFill>
            </a:rPr>
            <a:t>　●　次のような場合は、</a:t>
          </a:r>
          <a:r>
            <a:rPr kumimoji="1" lang="ja-JP" altLang="en-US" sz="1400" u="dbl" baseline="0">
              <a:solidFill>
                <a:schemeClr val="tx1"/>
              </a:solidFill>
            </a:rPr>
            <a:t>本簡易シミュレーションの対象外</a:t>
          </a:r>
          <a:r>
            <a:rPr kumimoji="1" lang="ja-JP" altLang="en-US" sz="1400" baseline="0">
              <a:solidFill>
                <a:schemeClr val="tx1"/>
              </a:solidFill>
            </a:rPr>
            <a:t>です。</a:t>
          </a:r>
          <a:endParaRPr kumimoji="1" lang="en-US" altLang="ja-JP" sz="1400" baseline="0">
            <a:solidFill>
              <a:schemeClr val="tx1"/>
            </a:solidFill>
          </a:endParaRPr>
        </a:p>
        <a:p>
          <a:r>
            <a:rPr kumimoji="1" lang="ja-JP" altLang="en-US" sz="1400" baseline="0">
              <a:solidFill>
                <a:schemeClr val="tx1"/>
              </a:solidFill>
            </a:rPr>
            <a:t>　　</a:t>
          </a:r>
          <a:r>
            <a:rPr kumimoji="1" lang="ja-JP" altLang="ja-JP" sz="1400" baseline="0">
              <a:solidFill>
                <a:schemeClr val="tx1"/>
              </a:solidFill>
              <a:effectLst/>
              <a:latin typeface="+mn-lt"/>
              <a:ea typeface="+mn-ea"/>
              <a:cs typeface="+mn-cs"/>
            </a:rPr>
            <a:t>・　年度（４月～翌年３月）途中での加入者の増減、介護該当または非該当、後期高齢者医療保険制度への移行などの変動がある場合</a:t>
          </a:r>
          <a:endParaRPr lang="ja-JP" altLang="ja-JP" sz="1400">
            <a:solidFill>
              <a:schemeClr val="tx1"/>
            </a:solidFill>
            <a:effectLst/>
          </a:endParaRPr>
        </a:p>
        <a:p>
          <a:r>
            <a:rPr kumimoji="1" lang="ja-JP" altLang="ja-JP" sz="1400" baseline="0">
              <a:solidFill>
                <a:schemeClr val="tx1"/>
              </a:solidFill>
              <a:effectLst/>
              <a:latin typeface="+mn-lt"/>
              <a:ea typeface="+mn-ea"/>
              <a:cs typeface="+mn-cs"/>
            </a:rPr>
            <a:t>　　・　前年の所得額に変更が生じる場合</a:t>
          </a:r>
          <a:endParaRPr lang="ja-JP" altLang="ja-JP" sz="1400">
            <a:solidFill>
              <a:schemeClr val="tx1"/>
            </a:solidFill>
            <a:effectLst/>
          </a:endParaRPr>
        </a:p>
        <a:p>
          <a:r>
            <a:rPr kumimoji="1" lang="ja-JP" altLang="ja-JP" sz="1400" baseline="0">
              <a:solidFill>
                <a:schemeClr val="tx1"/>
              </a:solidFill>
              <a:effectLst/>
              <a:latin typeface="+mn-lt"/>
              <a:ea typeface="+mn-ea"/>
              <a:cs typeface="+mn-cs"/>
            </a:rPr>
            <a:t>　　・　</a:t>
          </a:r>
          <a:r>
            <a:rPr kumimoji="1" lang="ja-JP" altLang="ja-JP" sz="1400" u="none" baseline="0">
              <a:solidFill>
                <a:schemeClr val="tx1"/>
              </a:solidFill>
              <a:effectLst/>
              <a:latin typeface="+mn-lt"/>
              <a:ea typeface="+mn-ea"/>
              <a:cs typeface="+mn-cs"/>
            </a:rPr>
            <a:t>前年の収入が無い方で前年中の申告がお済みでない場合（所得が低い場合でも、未申告の場合は軽減制度が適用されません）</a:t>
          </a:r>
          <a:endParaRPr lang="ja-JP" altLang="ja-JP" sz="1400" u="none">
            <a:solidFill>
              <a:schemeClr val="tx1"/>
            </a:solidFill>
            <a:effectLst/>
          </a:endParaRPr>
        </a:p>
        <a:p>
          <a:r>
            <a:rPr kumimoji="1" lang="ja-JP" altLang="ja-JP" sz="1400" u="none" baseline="0">
              <a:solidFill>
                <a:schemeClr val="tx1"/>
              </a:solidFill>
              <a:effectLst/>
              <a:latin typeface="+mn-lt"/>
              <a:ea typeface="+mn-ea"/>
              <a:cs typeface="+mn-cs"/>
            </a:rPr>
            <a:t>　　・　給与と年金両方の所得がある方の場合（所得金額調整控除は計算されません）</a:t>
          </a:r>
          <a:endParaRPr lang="ja-JP" altLang="ja-JP" sz="1400" u="none">
            <a:solidFill>
              <a:schemeClr val="tx1"/>
            </a:solidFill>
            <a:effectLst/>
          </a:endParaRPr>
        </a:p>
        <a:p>
          <a:r>
            <a:rPr kumimoji="1" lang="ja-JP" altLang="ja-JP" sz="1400" u="none" baseline="0">
              <a:solidFill>
                <a:schemeClr val="tx1"/>
              </a:solidFill>
              <a:effectLst/>
              <a:latin typeface="+mn-lt"/>
              <a:ea typeface="+mn-ea"/>
              <a:cs typeface="+mn-cs"/>
            </a:rPr>
            <a:t>　　・　マイナス所得がある場合</a:t>
          </a:r>
          <a:endParaRPr lang="ja-JP" altLang="ja-JP" sz="1400" u="none">
            <a:solidFill>
              <a:schemeClr val="tx1"/>
            </a:solidFill>
            <a:effectLst/>
          </a:endParaRPr>
        </a:p>
        <a:p>
          <a:r>
            <a:rPr kumimoji="1" lang="ja-JP" altLang="ja-JP" sz="1400" baseline="0">
              <a:solidFill>
                <a:schemeClr val="tx1"/>
              </a:solidFill>
              <a:effectLst/>
              <a:latin typeface="+mn-lt"/>
              <a:ea typeface="+mn-ea"/>
              <a:cs typeface="+mn-cs"/>
            </a:rPr>
            <a:t>　　・　繰越損失がある方の場合</a:t>
          </a:r>
          <a:endParaRPr lang="ja-JP" altLang="ja-JP" sz="1400">
            <a:solidFill>
              <a:schemeClr val="tx1"/>
            </a:solidFill>
            <a:effectLst/>
          </a:endParaRPr>
        </a:p>
        <a:p>
          <a:r>
            <a:rPr kumimoji="1" lang="ja-JP" altLang="ja-JP" sz="1400" baseline="0">
              <a:solidFill>
                <a:schemeClr val="tx1"/>
              </a:solidFill>
              <a:effectLst/>
              <a:latin typeface="+mn-lt"/>
              <a:ea typeface="+mn-ea"/>
              <a:cs typeface="+mn-cs"/>
            </a:rPr>
            <a:t>　　・　専従者給与の支払いがある方または支払いを受けている方が世帯主または世帯の国保加入者である場合</a:t>
          </a:r>
          <a:endParaRPr lang="ja-JP" altLang="ja-JP" sz="1400">
            <a:solidFill>
              <a:schemeClr val="tx1"/>
            </a:solidFill>
            <a:effectLst/>
          </a:endParaRPr>
        </a:p>
        <a:p>
          <a:pPr algn="l"/>
          <a:endParaRPr kumimoji="1" lang="en-US" altLang="ja-JP" sz="1400" baseline="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HG創英角ｺﾞｼｯｸUB" panose="020B0909000000000000" pitchFamily="49" charset="-128"/>
              <a:ea typeface="HG創英角ｺﾞｼｯｸUB" panose="020B0909000000000000" pitchFamily="49" charset="-128"/>
              <a:cs typeface="+mn-cs"/>
            </a:rPr>
            <a:t>以上</a:t>
          </a:r>
          <a:r>
            <a:rPr kumimoji="1" lang="ja-JP" altLang="ja-JP" sz="1600">
              <a:solidFill>
                <a:schemeClr val="tx1"/>
              </a:solidFill>
              <a:effectLst/>
              <a:latin typeface="HG創英角ｺﾞｼｯｸUB" panose="020B0909000000000000" pitchFamily="49" charset="-128"/>
              <a:ea typeface="HG創英角ｺﾞｼｯｸUB" panose="020B0909000000000000" pitchFamily="49" charset="-128"/>
              <a:cs typeface="+mn-cs"/>
            </a:rPr>
            <a:t>の事項</a:t>
          </a:r>
          <a:r>
            <a:rPr kumimoji="1" lang="ja-JP" altLang="en-US" sz="1600">
              <a:solidFill>
                <a:schemeClr val="tx1"/>
              </a:solidFill>
              <a:effectLst/>
              <a:latin typeface="HG創英角ｺﾞｼｯｸUB" panose="020B0909000000000000" pitchFamily="49" charset="-128"/>
              <a:ea typeface="HG創英角ｺﾞｼｯｸUB" panose="020B0909000000000000" pitchFamily="49" charset="-128"/>
              <a:cs typeface="+mn-cs"/>
            </a:rPr>
            <a:t>についてご同意いただきましたら、ページ下へお進みください</a:t>
          </a:r>
          <a:r>
            <a:rPr kumimoji="1" lang="ja-JP" altLang="ja-JP" sz="1600">
              <a:solidFill>
                <a:schemeClr val="tx1"/>
              </a:solidFill>
              <a:effectLst/>
              <a:latin typeface="HG創英角ｺﾞｼｯｸUB" panose="020B0909000000000000" pitchFamily="49" charset="-128"/>
              <a:ea typeface="HG創英角ｺﾞｼｯｸUB" panose="020B0909000000000000" pitchFamily="49" charset="-128"/>
              <a:cs typeface="+mn-cs"/>
            </a:rPr>
            <a:t>。</a:t>
          </a:r>
          <a:endParaRPr lang="ja-JP" altLang="ja-JP" sz="2000">
            <a:solidFill>
              <a:schemeClr val="tx1"/>
            </a:solidFill>
            <a:effectLst/>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5</xdr:col>
      <xdr:colOff>481853</xdr:colOff>
      <xdr:row>32</xdr:row>
      <xdr:rowOff>22411</xdr:rowOff>
    </xdr:from>
    <xdr:to>
      <xdr:col>6</xdr:col>
      <xdr:colOff>419101</xdr:colOff>
      <xdr:row>36</xdr:row>
      <xdr:rowOff>6882</xdr:rowOff>
    </xdr:to>
    <xdr:sp macro="" textlink="">
      <xdr:nvSpPr>
        <xdr:cNvPr id="35" name="下矢印 34">
          <a:extLst>
            <a:ext uri="{FF2B5EF4-FFF2-40B4-BE49-F238E27FC236}">
              <a16:creationId xmlns:a16="http://schemas.microsoft.com/office/drawing/2014/main" id="{00000000-0008-0000-0000-000023000000}"/>
            </a:ext>
          </a:extLst>
        </xdr:cNvPr>
        <xdr:cNvSpPr/>
      </xdr:nvSpPr>
      <xdr:spPr>
        <a:xfrm>
          <a:off x="5206253" y="6194611"/>
          <a:ext cx="1042148" cy="74647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showGridLines="0" tabSelected="1" zoomScaleNormal="100" workbookViewId="0">
      <pane ySplit="2" topLeftCell="A3" activePane="bottomLeft" state="frozen"/>
      <selection pane="bottomLeft" activeCell="C88" sqref="C88"/>
    </sheetView>
  </sheetViews>
  <sheetFormatPr defaultColWidth="9" defaultRowHeight="14.25" x14ac:dyDescent="0.15"/>
  <cols>
    <col min="1" max="1" width="4" style="12" customWidth="1"/>
    <col min="2" max="10" width="14.25" style="12" customWidth="1"/>
    <col min="11" max="11" width="15.375" style="12" customWidth="1"/>
    <col min="12" max="12" width="14.25" style="12" hidden="1" customWidth="1"/>
    <col min="13" max="13" width="17.5" style="12" hidden="1" customWidth="1"/>
    <col min="14" max="14" width="15.75" style="12" hidden="1" customWidth="1"/>
    <col min="15" max="15" width="11.75" style="12" customWidth="1"/>
    <col min="16" max="16" width="9" style="12"/>
    <col min="17" max="17" width="11.25" style="12" bestFit="1" customWidth="1"/>
    <col min="18" max="16384" width="9" style="12"/>
  </cols>
  <sheetData>
    <row r="1" spans="1:17" ht="21" x14ac:dyDescent="0.2">
      <c r="A1" s="11" t="s">
        <v>285</v>
      </c>
      <c r="Q1" s="13">
        <v>44963</v>
      </c>
    </row>
    <row r="2" spans="1:17" x14ac:dyDescent="0.15">
      <c r="Q2" s="14" t="s">
        <v>287</v>
      </c>
    </row>
    <row r="3" spans="1:17" ht="15" thickBot="1" x14ac:dyDescent="0.2"/>
    <row r="4" spans="1:17" ht="14.25" customHeight="1" x14ac:dyDescent="0.15">
      <c r="A4" s="125" t="s">
        <v>71</v>
      </c>
      <c r="B4" s="125"/>
      <c r="C4" s="125"/>
      <c r="D4" s="126"/>
    </row>
    <row r="5" spans="1:17" ht="14.25" customHeight="1" thickBot="1" x14ac:dyDescent="0.2">
      <c r="A5" s="127"/>
      <c r="B5" s="127"/>
      <c r="C5" s="127"/>
      <c r="D5" s="128"/>
      <c r="E5" s="15"/>
      <c r="F5" s="15"/>
      <c r="G5" s="15"/>
      <c r="H5" s="15"/>
      <c r="I5" s="15"/>
      <c r="J5" s="15"/>
      <c r="K5" s="15"/>
      <c r="L5" s="15"/>
      <c r="M5" s="15"/>
      <c r="N5" s="15"/>
      <c r="O5" s="16"/>
      <c r="P5" s="17"/>
      <c r="Q5" s="17"/>
    </row>
    <row r="6" spans="1:17" ht="14.25" customHeight="1" x14ac:dyDescent="0.15">
      <c r="A6" s="18"/>
      <c r="B6" s="17"/>
      <c r="C6" s="17"/>
      <c r="D6" s="17"/>
      <c r="E6" s="17"/>
      <c r="F6" s="17"/>
      <c r="G6" s="17"/>
      <c r="H6" s="17"/>
      <c r="I6" s="17"/>
      <c r="J6" s="17"/>
      <c r="K6" s="17"/>
      <c r="L6" s="17"/>
      <c r="M6" s="17"/>
      <c r="N6" s="17"/>
      <c r="O6" s="19"/>
      <c r="P6" s="17"/>
      <c r="Q6" s="17"/>
    </row>
    <row r="7" spans="1:17" ht="14.25" customHeight="1" x14ac:dyDescent="0.15">
      <c r="A7" s="18"/>
      <c r="B7" s="17"/>
      <c r="C7" s="17"/>
      <c r="D7" s="17"/>
      <c r="E7" s="17"/>
      <c r="F7" s="17"/>
      <c r="G7" s="17"/>
      <c r="H7" s="17"/>
      <c r="I7" s="17"/>
      <c r="J7" s="17"/>
      <c r="K7" s="17"/>
      <c r="L7" s="17"/>
      <c r="M7" s="17"/>
      <c r="N7" s="17"/>
      <c r="O7" s="19"/>
      <c r="P7" s="17"/>
      <c r="Q7" s="17"/>
    </row>
    <row r="8" spans="1:17" ht="14.25" customHeight="1" x14ac:dyDescent="0.15">
      <c r="A8" s="18"/>
      <c r="B8" s="17"/>
      <c r="C8" s="17"/>
      <c r="D8" s="17"/>
      <c r="E8" s="17"/>
      <c r="F8" s="17"/>
      <c r="G8" s="17"/>
      <c r="H8" s="17"/>
      <c r="I8" s="17"/>
      <c r="J8" s="17"/>
      <c r="K8" s="17"/>
      <c r="L8" s="17"/>
      <c r="M8" s="17"/>
      <c r="N8" s="17"/>
      <c r="O8" s="19"/>
      <c r="P8" s="17"/>
      <c r="Q8" s="17"/>
    </row>
    <row r="9" spans="1:17" ht="14.25" customHeight="1" x14ac:dyDescent="0.15">
      <c r="A9" s="18"/>
      <c r="B9" s="17"/>
      <c r="C9" s="17"/>
      <c r="D9" s="17"/>
      <c r="E9" s="17"/>
      <c r="F9" s="17"/>
      <c r="G9" s="17"/>
      <c r="H9" s="17"/>
      <c r="I9" s="17"/>
      <c r="J9" s="17"/>
      <c r="K9" s="17"/>
      <c r="L9" s="17"/>
      <c r="M9" s="17"/>
      <c r="N9" s="17"/>
      <c r="O9" s="19"/>
      <c r="P9" s="17"/>
      <c r="Q9" s="17"/>
    </row>
    <row r="10" spans="1:17" ht="14.25" customHeight="1" x14ac:dyDescent="0.15">
      <c r="A10" s="18"/>
      <c r="B10" s="17"/>
      <c r="C10" s="17"/>
      <c r="D10" s="17"/>
      <c r="E10" s="17"/>
      <c r="F10" s="17"/>
      <c r="G10" s="17"/>
      <c r="H10" s="17"/>
      <c r="I10" s="17"/>
      <c r="J10" s="17"/>
      <c r="K10" s="17"/>
      <c r="L10" s="17"/>
      <c r="M10" s="17"/>
      <c r="N10" s="17"/>
      <c r="O10" s="19"/>
      <c r="P10" s="17"/>
      <c r="Q10" s="17"/>
    </row>
    <row r="11" spans="1:17" ht="14.25" customHeight="1" x14ac:dyDescent="0.15">
      <c r="A11" s="18"/>
      <c r="B11" s="17"/>
      <c r="C11" s="17"/>
      <c r="D11" s="17"/>
      <c r="E11" s="17"/>
      <c r="F11" s="17"/>
      <c r="G11" s="17"/>
      <c r="H11" s="17"/>
      <c r="I11" s="17"/>
      <c r="J11" s="17"/>
      <c r="K11" s="17"/>
      <c r="L11" s="17"/>
      <c r="M11" s="17"/>
      <c r="N11" s="17"/>
      <c r="O11" s="19"/>
      <c r="P11" s="17"/>
      <c r="Q11" s="17"/>
    </row>
    <row r="12" spans="1:17" ht="14.25" customHeight="1" x14ac:dyDescent="0.15">
      <c r="A12" s="18"/>
      <c r="B12" s="17"/>
      <c r="C12" s="17"/>
      <c r="D12" s="17"/>
      <c r="E12" s="17"/>
      <c r="F12" s="17"/>
      <c r="G12" s="17"/>
      <c r="H12" s="17"/>
      <c r="I12" s="17"/>
      <c r="J12" s="17"/>
      <c r="K12" s="17"/>
      <c r="L12" s="17"/>
      <c r="M12" s="17"/>
      <c r="N12" s="17"/>
      <c r="O12" s="19"/>
      <c r="P12" s="17"/>
      <c r="Q12" s="17"/>
    </row>
    <row r="13" spans="1:17" ht="14.25" customHeight="1" x14ac:dyDescent="0.15">
      <c r="A13" s="18"/>
      <c r="B13" s="17"/>
      <c r="C13" s="17"/>
      <c r="D13" s="17"/>
      <c r="E13" s="17"/>
      <c r="F13" s="17"/>
      <c r="G13" s="17"/>
      <c r="H13" s="17"/>
      <c r="I13" s="17"/>
      <c r="J13" s="17"/>
      <c r="K13" s="17"/>
      <c r="L13" s="17"/>
      <c r="M13" s="17"/>
      <c r="N13" s="17"/>
      <c r="O13" s="19"/>
      <c r="P13" s="17"/>
      <c r="Q13" s="17"/>
    </row>
    <row r="14" spans="1:17" ht="14.25" customHeight="1" x14ac:dyDescent="0.15">
      <c r="A14" s="18"/>
      <c r="B14" s="17"/>
      <c r="C14" s="17"/>
      <c r="D14" s="17"/>
      <c r="E14" s="17"/>
      <c r="F14" s="17"/>
      <c r="G14" s="17"/>
      <c r="H14" s="17"/>
      <c r="I14" s="17"/>
      <c r="J14" s="17"/>
      <c r="K14" s="17"/>
      <c r="L14" s="17"/>
      <c r="M14" s="17"/>
      <c r="N14" s="17"/>
      <c r="O14" s="19"/>
      <c r="P14" s="17"/>
      <c r="Q14" s="17"/>
    </row>
    <row r="15" spans="1:17" ht="14.25" customHeight="1" x14ac:dyDescent="0.15">
      <c r="A15" s="18"/>
      <c r="B15" s="17"/>
      <c r="C15" s="17"/>
      <c r="D15" s="17"/>
      <c r="E15" s="17"/>
      <c r="F15" s="17"/>
      <c r="G15" s="17"/>
      <c r="H15" s="17"/>
      <c r="I15" s="17"/>
      <c r="J15" s="17"/>
      <c r="K15" s="17"/>
      <c r="L15" s="17"/>
      <c r="M15" s="17"/>
      <c r="N15" s="17"/>
      <c r="O15" s="19"/>
      <c r="P15" s="17"/>
      <c r="Q15" s="17"/>
    </row>
    <row r="16" spans="1:17" ht="14.25" customHeight="1" x14ac:dyDescent="0.15">
      <c r="A16" s="18"/>
      <c r="B16" s="17"/>
      <c r="C16" s="17"/>
      <c r="D16" s="17"/>
      <c r="E16" s="17"/>
      <c r="F16" s="17"/>
      <c r="G16" s="17"/>
      <c r="H16" s="17"/>
      <c r="I16" s="17"/>
      <c r="J16" s="17"/>
      <c r="K16" s="17"/>
      <c r="L16" s="17"/>
      <c r="M16" s="17"/>
      <c r="N16" s="17"/>
      <c r="O16" s="19"/>
      <c r="P16" s="17"/>
      <c r="Q16" s="17"/>
    </row>
    <row r="17" spans="1:17" ht="14.25" customHeight="1" x14ac:dyDescent="0.15">
      <c r="A17" s="18"/>
      <c r="B17" s="17"/>
      <c r="C17" s="17"/>
      <c r="D17" s="17"/>
      <c r="E17" s="17"/>
      <c r="F17" s="17"/>
      <c r="G17" s="17"/>
      <c r="H17" s="17"/>
      <c r="I17" s="17"/>
      <c r="J17" s="17"/>
      <c r="K17" s="17"/>
      <c r="L17" s="17"/>
      <c r="M17" s="17"/>
      <c r="N17" s="17"/>
      <c r="O17" s="19"/>
      <c r="P17" s="17"/>
      <c r="Q17" s="17"/>
    </row>
    <row r="18" spans="1:17" ht="14.25" customHeight="1" x14ac:dyDescent="0.15">
      <c r="A18" s="18"/>
      <c r="B18" s="17"/>
      <c r="C18" s="17"/>
      <c r="D18" s="17"/>
      <c r="E18" s="17"/>
      <c r="F18" s="17"/>
      <c r="G18" s="17"/>
      <c r="H18" s="17"/>
      <c r="I18" s="17"/>
      <c r="J18" s="17"/>
      <c r="K18" s="17"/>
      <c r="L18" s="17"/>
      <c r="M18" s="17"/>
      <c r="N18" s="17"/>
      <c r="O18" s="19"/>
      <c r="P18" s="17"/>
      <c r="Q18" s="17"/>
    </row>
    <row r="19" spans="1:17" ht="14.25" customHeight="1" x14ac:dyDescent="0.15">
      <c r="A19" s="18"/>
      <c r="B19" s="17"/>
      <c r="C19" s="17"/>
      <c r="D19" s="17"/>
      <c r="E19" s="17"/>
      <c r="F19" s="17"/>
      <c r="G19" s="17"/>
      <c r="H19" s="17"/>
      <c r="I19" s="17"/>
      <c r="J19" s="17"/>
      <c r="K19" s="17"/>
      <c r="L19" s="17"/>
      <c r="M19" s="17"/>
      <c r="N19" s="17"/>
      <c r="O19" s="19"/>
      <c r="P19" s="17"/>
      <c r="Q19" s="17"/>
    </row>
    <row r="20" spans="1:17" ht="14.25" customHeight="1" x14ac:dyDescent="0.15">
      <c r="A20" s="18"/>
      <c r="B20" s="17"/>
      <c r="C20" s="17"/>
      <c r="D20" s="17"/>
      <c r="E20" s="17"/>
      <c r="F20" s="17"/>
      <c r="G20" s="17"/>
      <c r="H20" s="17"/>
      <c r="I20" s="17"/>
      <c r="J20" s="17"/>
      <c r="K20" s="17"/>
      <c r="L20" s="17"/>
      <c r="M20" s="17"/>
      <c r="N20" s="17"/>
      <c r="O20" s="19"/>
      <c r="P20" s="17"/>
      <c r="Q20" s="17"/>
    </row>
    <row r="21" spans="1:17" ht="14.25" customHeight="1" x14ac:dyDescent="0.15">
      <c r="A21" s="18"/>
      <c r="B21" s="17"/>
      <c r="C21" s="17"/>
      <c r="D21" s="17"/>
      <c r="E21" s="17"/>
      <c r="F21" s="17"/>
      <c r="G21" s="17"/>
      <c r="H21" s="17"/>
      <c r="I21" s="17"/>
      <c r="J21" s="17"/>
      <c r="K21" s="17"/>
      <c r="L21" s="17"/>
      <c r="M21" s="17"/>
      <c r="N21" s="17"/>
      <c r="O21" s="19"/>
      <c r="P21" s="17"/>
      <c r="Q21" s="17"/>
    </row>
    <row r="22" spans="1:17" ht="14.25" customHeight="1" x14ac:dyDescent="0.15">
      <c r="A22" s="18"/>
      <c r="B22" s="17"/>
      <c r="C22" s="17"/>
      <c r="D22" s="17"/>
      <c r="E22" s="17"/>
      <c r="F22" s="17"/>
      <c r="G22" s="17"/>
      <c r="H22" s="17"/>
      <c r="I22" s="17"/>
      <c r="J22" s="17"/>
      <c r="K22" s="17"/>
      <c r="L22" s="17"/>
      <c r="M22" s="17"/>
      <c r="N22" s="17"/>
      <c r="O22" s="19"/>
      <c r="P22" s="17"/>
      <c r="Q22" s="17"/>
    </row>
    <row r="23" spans="1:17" ht="14.25" customHeight="1" x14ac:dyDescent="0.15">
      <c r="A23" s="18"/>
      <c r="B23" s="17"/>
      <c r="C23" s="17"/>
      <c r="D23" s="17"/>
      <c r="E23" s="17"/>
      <c r="F23" s="17"/>
      <c r="G23" s="17"/>
      <c r="H23" s="17"/>
      <c r="I23" s="17"/>
      <c r="J23" s="17"/>
      <c r="K23" s="17"/>
      <c r="L23" s="17"/>
      <c r="M23" s="17"/>
      <c r="N23" s="17"/>
      <c r="O23" s="19"/>
      <c r="P23" s="17"/>
      <c r="Q23" s="17"/>
    </row>
    <row r="24" spans="1:17" ht="14.25" customHeight="1" x14ac:dyDescent="0.15">
      <c r="A24" s="18"/>
      <c r="B24" s="17"/>
      <c r="C24" s="17"/>
      <c r="D24" s="17"/>
      <c r="E24" s="17"/>
      <c r="F24" s="17"/>
      <c r="G24" s="17"/>
      <c r="H24" s="17"/>
      <c r="I24" s="17"/>
      <c r="J24" s="17"/>
      <c r="K24" s="17"/>
      <c r="L24" s="17"/>
      <c r="M24" s="17"/>
      <c r="N24" s="17"/>
      <c r="O24" s="19"/>
      <c r="P24" s="17"/>
      <c r="Q24" s="17"/>
    </row>
    <row r="25" spans="1:17" ht="14.25" customHeight="1" x14ac:dyDescent="0.15">
      <c r="A25" s="18"/>
      <c r="B25" s="17"/>
      <c r="C25" s="17"/>
      <c r="D25" s="17"/>
      <c r="E25" s="17"/>
      <c r="F25" s="17"/>
      <c r="G25" s="17"/>
      <c r="H25" s="17"/>
      <c r="I25" s="17"/>
      <c r="J25" s="17"/>
      <c r="K25" s="17"/>
      <c r="L25" s="17"/>
      <c r="M25" s="17"/>
      <c r="N25" s="17"/>
      <c r="O25" s="19"/>
      <c r="P25" s="17"/>
      <c r="Q25" s="17"/>
    </row>
    <row r="26" spans="1:17" ht="14.25" customHeight="1" x14ac:dyDescent="0.15">
      <c r="A26" s="18"/>
      <c r="B26" s="17"/>
      <c r="C26" s="17"/>
      <c r="D26" s="17"/>
      <c r="E26" s="17"/>
      <c r="F26" s="17"/>
      <c r="G26" s="17"/>
      <c r="H26" s="17"/>
      <c r="I26" s="17"/>
      <c r="J26" s="17"/>
      <c r="K26" s="17"/>
      <c r="L26" s="17"/>
      <c r="M26" s="17"/>
      <c r="N26" s="17"/>
      <c r="O26" s="19"/>
      <c r="P26" s="17"/>
      <c r="Q26" s="17"/>
    </row>
    <row r="27" spans="1:17" ht="14.25" customHeight="1" x14ac:dyDescent="0.15">
      <c r="A27" s="18"/>
      <c r="B27" s="17"/>
      <c r="C27" s="17"/>
      <c r="D27" s="17"/>
      <c r="E27" s="17"/>
      <c r="F27" s="17"/>
      <c r="G27" s="17"/>
      <c r="H27" s="17"/>
      <c r="I27" s="17"/>
      <c r="J27" s="17"/>
      <c r="K27" s="17"/>
      <c r="L27" s="17"/>
      <c r="M27" s="17"/>
      <c r="N27" s="17"/>
      <c r="O27" s="19"/>
      <c r="P27" s="17"/>
      <c r="Q27" s="17"/>
    </row>
    <row r="28" spans="1:17" ht="14.25" customHeight="1" x14ac:dyDescent="0.15">
      <c r="A28" s="18"/>
      <c r="B28" s="17"/>
      <c r="C28" s="17"/>
      <c r="D28" s="17"/>
      <c r="E28" s="17"/>
      <c r="F28" s="17"/>
      <c r="G28" s="17"/>
      <c r="H28" s="17"/>
      <c r="I28" s="17"/>
      <c r="J28" s="17"/>
      <c r="K28" s="17"/>
      <c r="L28" s="17"/>
      <c r="M28" s="17"/>
      <c r="N28" s="17"/>
      <c r="O28" s="19"/>
      <c r="P28" s="17"/>
      <c r="Q28" s="17"/>
    </row>
    <row r="29" spans="1:17" ht="14.25" customHeight="1" x14ac:dyDescent="0.15">
      <c r="A29" s="18"/>
      <c r="B29" s="17"/>
      <c r="C29" s="17"/>
      <c r="D29" s="17"/>
      <c r="E29" s="17"/>
      <c r="F29" s="17"/>
      <c r="G29" s="17"/>
      <c r="H29" s="17"/>
      <c r="I29" s="17"/>
      <c r="J29" s="17"/>
      <c r="K29" s="17"/>
      <c r="L29" s="17"/>
      <c r="M29" s="17"/>
      <c r="N29" s="17"/>
      <c r="O29" s="19"/>
      <c r="P29" s="17"/>
      <c r="Q29" s="17"/>
    </row>
    <row r="30" spans="1:17" ht="14.25" customHeight="1" x14ac:dyDescent="0.15">
      <c r="A30" s="18"/>
      <c r="B30" s="17"/>
      <c r="C30" s="17"/>
      <c r="D30" s="17"/>
      <c r="E30" s="17"/>
      <c r="F30" s="17"/>
      <c r="G30" s="17"/>
      <c r="H30" s="17"/>
      <c r="I30" s="17"/>
      <c r="J30" s="17"/>
      <c r="K30" s="17"/>
      <c r="L30" s="17"/>
      <c r="M30" s="17"/>
      <c r="N30" s="17"/>
      <c r="O30" s="19"/>
      <c r="P30" s="17"/>
      <c r="Q30" s="17"/>
    </row>
    <row r="31" spans="1:17" ht="14.25" customHeight="1" x14ac:dyDescent="0.15">
      <c r="A31" s="20"/>
      <c r="B31" s="21"/>
      <c r="C31" s="21"/>
      <c r="D31" s="21"/>
      <c r="E31" s="21"/>
      <c r="F31" s="21"/>
      <c r="G31" s="21"/>
      <c r="H31" s="21"/>
      <c r="I31" s="21"/>
      <c r="J31" s="21"/>
      <c r="K31" s="21"/>
      <c r="L31" s="21"/>
      <c r="M31" s="21"/>
      <c r="N31" s="21"/>
      <c r="O31" s="22"/>
      <c r="P31" s="17"/>
      <c r="Q31" s="17"/>
    </row>
    <row r="32" spans="1:17" ht="14.25" customHeight="1" x14ac:dyDescent="0.15"/>
    <row r="33" spans="1:18" ht="14.25" customHeight="1" x14ac:dyDescent="0.15"/>
    <row r="34" spans="1:18" ht="14.25" customHeight="1" x14ac:dyDescent="0.15"/>
    <row r="35" spans="1:18" ht="14.25" customHeight="1" x14ac:dyDescent="0.15"/>
    <row r="36" spans="1:18" ht="14.25" customHeight="1" thickBot="1" x14ac:dyDescent="0.2"/>
    <row r="37" spans="1:18" ht="14.25" customHeight="1" x14ac:dyDescent="0.15">
      <c r="A37" s="137" t="s">
        <v>65</v>
      </c>
      <c r="B37" s="138"/>
      <c r="C37" s="138"/>
      <c r="D37" s="139"/>
    </row>
    <row r="38" spans="1:18" ht="14.25" customHeight="1" thickBot="1" x14ac:dyDescent="0.2">
      <c r="A38" s="140"/>
      <c r="B38" s="141"/>
      <c r="C38" s="141"/>
      <c r="D38" s="142"/>
      <c r="E38" s="15"/>
      <c r="F38" s="15"/>
      <c r="G38" s="15"/>
      <c r="H38" s="15"/>
      <c r="I38" s="15"/>
      <c r="J38" s="15"/>
      <c r="K38" s="15"/>
      <c r="L38" s="15"/>
      <c r="M38" s="15"/>
      <c r="N38" s="15"/>
      <c r="O38" s="15"/>
      <c r="P38" s="15"/>
      <c r="Q38" s="18"/>
      <c r="R38" s="17"/>
    </row>
    <row r="39" spans="1:18" ht="14.25" customHeight="1" x14ac:dyDescent="0.15">
      <c r="A39" s="18"/>
      <c r="B39" s="17"/>
      <c r="C39" s="17"/>
      <c r="D39" s="17"/>
      <c r="E39" s="17"/>
      <c r="F39" s="17"/>
      <c r="G39" s="17"/>
      <c r="H39" s="17"/>
      <c r="I39" s="17"/>
      <c r="J39" s="17"/>
      <c r="K39" s="17"/>
      <c r="L39" s="17"/>
      <c r="M39" s="17"/>
      <c r="N39" s="17"/>
      <c r="O39" s="17"/>
      <c r="P39" s="17"/>
      <c r="Q39" s="18"/>
      <c r="R39" s="17"/>
    </row>
    <row r="40" spans="1:18" ht="14.25" customHeight="1" x14ac:dyDescent="0.15">
      <c r="A40" s="18"/>
      <c r="B40" s="17"/>
      <c r="C40" s="17"/>
      <c r="D40" s="17"/>
      <c r="E40" s="17"/>
      <c r="F40" s="17"/>
      <c r="G40" s="17"/>
      <c r="H40" s="17"/>
      <c r="I40" s="17"/>
      <c r="J40" s="17"/>
      <c r="K40" s="17"/>
      <c r="L40" s="17"/>
      <c r="M40" s="17"/>
      <c r="N40" s="17"/>
      <c r="O40" s="17"/>
      <c r="P40" s="17"/>
      <c r="Q40" s="18"/>
      <c r="R40" s="17"/>
    </row>
    <row r="41" spans="1:18" ht="14.25" customHeight="1" x14ac:dyDescent="0.15">
      <c r="A41" s="18"/>
      <c r="B41" s="17"/>
      <c r="C41" s="17"/>
      <c r="D41" s="17"/>
      <c r="E41" s="17"/>
      <c r="F41" s="17"/>
      <c r="G41" s="17"/>
      <c r="H41" s="17"/>
      <c r="I41" s="17"/>
      <c r="J41" s="17"/>
      <c r="K41" s="17"/>
      <c r="L41" s="17"/>
      <c r="M41" s="17"/>
      <c r="N41" s="17"/>
      <c r="O41" s="17"/>
      <c r="P41" s="17"/>
      <c r="Q41" s="18"/>
      <c r="R41" s="17"/>
    </row>
    <row r="42" spans="1:18" ht="14.25" customHeight="1" x14ac:dyDescent="0.15">
      <c r="A42" s="18"/>
      <c r="B42" s="17"/>
      <c r="C42" s="17"/>
      <c r="D42" s="17"/>
      <c r="E42" s="17"/>
      <c r="F42" s="17"/>
      <c r="G42" s="17"/>
      <c r="H42" s="17"/>
      <c r="I42" s="17"/>
      <c r="J42" s="17"/>
      <c r="K42" s="17"/>
      <c r="L42" s="17"/>
      <c r="M42" s="17"/>
      <c r="N42" s="17"/>
      <c r="O42" s="17"/>
      <c r="P42" s="17"/>
      <c r="Q42" s="18"/>
      <c r="R42" s="17"/>
    </row>
    <row r="43" spans="1:18" ht="14.25" customHeight="1" x14ac:dyDescent="0.15">
      <c r="A43" s="18"/>
      <c r="B43" s="17"/>
      <c r="C43" s="17"/>
      <c r="D43" s="17"/>
      <c r="E43" s="17"/>
      <c r="F43" s="17"/>
      <c r="G43" s="17"/>
      <c r="H43" s="17"/>
      <c r="I43" s="17"/>
      <c r="J43" s="17"/>
      <c r="K43" s="17"/>
      <c r="L43" s="17"/>
      <c r="M43" s="17"/>
      <c r="N43" s="17"/>
      <c r="O43" s="17"/>
      <c r="P43" s="17"/>
      <c r="Q43" s="18"/>
      <c r="R43" s="17"/>
    </row>
    <row r="44" spans="1:18" ht="14.25" customHeight="1" x14ac:dyDescent="0.15">
      <c r="A44" s="18"/>
      <c r="B44" s="17"/>
      <c r="C44" s="17"/>
      <c r="D44" s="17"/>
      <c r="E44" s="17"/>
      <c r="F44" s="17"/>
      <c r="G44" s="17"/>
      <c r="H44" s="17"/>
      <c r="I44" s="17"/>
      <c r="J44" s="17"/>
      <c r="K44" s="17"/>
      <c r="L44" s="17"/>
      <c r="M44" s="17"/>
      <c r="N44" s="17"/>
      <c r="O44" s="17"/>
      <c r="P44" s="17"/>
      <c r="Q44" s="18"/>
      <c r="R44" s="17"/>
    </row>
    <row r="45" spans="1:18" ht="14.25" customHeight="1" x14ac:dyDescent="0.15">
      <c r="A45" s="18"/>
      <c r="B45" s="17"/>
      <c r="C45" s="17"/>
      <c r="D45" s="17"/>
      <c r="E45" s="17"/>
      <c r="F45" s="17"/>
      <c r="G45" s="17"/>
      <c r="H45" s="17"/>
      <c r="I45" s="17"/>
      <c r="J45" s="17"/>
      <c r="K45" s="17"/>
      <c r="L45" s="17"/>
      <c r="M45" s="17"/>
      <c r="N45" s="17"/>
      <c r="O45" s="17"/>
      <c r="P45" s="17"/>
      <c r="Q45" s="18"/>
      <c r="R45" s="17"/>
    </row>
    <row r="46" spans="1:18" ht="14.25" customHeight="1" x14ac:dyDescent="0.15">
      <c r="A46" s="18"/>
      <c r="B46" s="17"/>
      <c r="C46" s="17"/>
      <c r="D46" s="17"/>
      <c r="E46" s="17"/>
      <c r="F46" s="17"/>
      <c r="G46" s="17"/>
      <c r="H46" s="17"/>
      <c r="I46" s="17"/>
      <c r="J46" s="17"/>
      <c r="K46" s="17"/>
      <c r="L46" s="17"/>
      <c r="M46" s="17"/>
      <c r="N46" s="17"/>
      <c r="O46" s="17"/>
      <c r="P46" s="17"/>
      <c r="Q46" s="18"/>
      <c r="R46" s="17"/>
    </row>
    <row r="47" spans="1:18" ht="14.25" customHeight="1" x14ac:dyDescent="0.15">
      <c r="A47" s="18"/>
      <c r="B47" s="17"/>
      <c r="C47" s="17"/>
      <c r="D47" s="17"/>
      <c r="E47" s="17"/>
      <c r="F47" s="17"/>
      <c r="G47" s="17"/>
      <c r="H47" s="17"/>
      <c r="I47" s="17"/>
      <c r="J47" s="17"/>
      <c r="K47" s="17"/>
      <c r="L47" s="17"/>
      <c r="M47" s="17"/>
      <c r="N47" s="17"/>
      <c r="O47" s="17"/>
      <c r="P47" s="17"/>
      <c r="Q47" s="18"/>
      <c r="R47" s="17"/>
    </row>
    <row r="48" spans="1:18" ht="14.25" customHeight="1" x14ac:dyDescent="0.15">
      <c r="A48" s="18"/>
      <c r="B48" s="17"/>
      <c r="C48" s="17"/>
      <c r="D48" s="17"/>
      <c r="E48" s="17"/>
      <c r="F48" s="17"/>
      <c r="G48" s="17"/>
      <c r="H48" s="17"/>
      <c r="I48" s="17"/>
      <c r="J48" s="17"/>
      <c r="K48" s="17"/>
      <c r="L48" s="17"/>
      <c r="M48" s="17"/>
      <c r="N48" s="17"/>
      <c r="O48" s="17"/>
      <c r="P48" s="17"/>
      <c r="Q48" s="18"/>
      <c r="R48" s="17"/>
    </row>
    <row r="49" spans="1:18" ht="14.25" customHeight="1" x14ac:dyDescent="0.15">
      <c r="A49" s="18"/>
      <c r="B49" s="17"/>
      <c r="C49" s="17"/>
      <c r="D49" s="17"/>
      <c r="E49" s="17"/>
      <c r="F49" s="17"/>
      <c r="G49" s="17"/>
      <c r="H49" s="17"/>
      <c r="I49" s="17"/>
      <c r="J49" s="17"/>
      <c r="K49" s="17"/>
      <c r="L49" s="17"/>
      <c r="M49" s="17"/>
      <c r="N49" s="17"/>
      <c r="O49" s="17"/>
      <c r="P49" s="17"/>
      <c r="Q49" s="18"/>
      <c r="R49" s="17"/>
    </row>
    <row r="50" spans="1:18" ht="14.25" customHeight="1" x14ac:dyDescent="0.15">
      <c r="A50" s="18"/>
      <c r="B50" s="17"/>
      <c r="C50" s="17"/>
      <c r="D50" s="17"/>
      <c r="E50" s="17"/>
      <c r="F50" s="17"/>
      <c r="G50" s="17"/>
      <c r="H50" s="17"/>
      <c r="I50" s="17"/>
      <c r="J50" s="17"/>
      <c r="K50" s="17"/>
      <c r="L50" s="17"/>
      <c r="M50" s="17"/>
      <c r="N50" s="17"/>
      <c r="O50" s="17"/>
      <c r="P50" s="17"/>
      <c r="Q50" s="18"/>
      <c r="R50" s="17"/>
    </row>
    <row r="51" spans="1:18" ht="14.25" customHeight="1" x14ac:dyDescent="0.15">
      <c r="A51" s="18"/>
      <c r="B51" s="17"/>
      <c r="C51" s="17"/>
      <c r="D51" s="17"/>
      <c r="E51" s="17"/>
      <c r="F51" s="17"/>
      <c r="G51" s="17"/>
      <c r="H51" s="17"/>
      <c r="I51" s="17"/>
      <c r="J51" s="17"/>
      <c r="K51" s="17"/>
      <c r="L51" s="17"/>
      <c r="M51" s="17"/>
      <c r="N51" s="17"/>
      <c r="O51" s="17"/>
      <c r="P51" s="17"/>
      <c r="Q51" s="18"/>
      <c r="R51" s="17"/>
    </row>
    <row r="52" spans="1:18" ht="14.25" customHeight="1" x14ac:dyDescent="0.15">
      <c r="A52" s="18"/>
      <c r="B52" s="17"/>
      <c r="C52" s="17"/>
      <c r="D52" s="17"/>
      <c r="E52" s="17"/>
      <c r="F52" s="17"/>
      <c r="G52" s="17"/>
      <c r="H52" s="17"/>
      <c r="I52" s="17"/>
      <c r="J52" s="17"/>
      <c r="K52" s="17"/>
      <c r="L52" s="17"/>
      <c r="M52" s="17"/>
      <c r="N52" s="17"/>
      <c r="O52" s="17"/>
      <c r="P52" s="17"/>
      <c r="Q52" s="18"/>
      <c r="R52" s="17"/>
    </row>
    <row r="53" spans="1:18" ht="14.25" customHeight="1" x14ac:dyDescent="0.15">
      <c r="A53" s="18"/>
      <c r="B53" s="17"/>
      <c r="C53" s="17"/>
      <c r="D53" s="17"/>
      <c r="E53" s="17"/>
      <c r="F53" s="17"/>
      <c r="G53" s="17"/>
      <c r="H53" s="17"/>
      <c r="I53" s="17"/>
      <c r="J53" s="17"/>
      <c r="K53" s="17"/>
      <c r="L53" s="17"/>
      <c r="M53" s="17"/>
      <c r="N53" s="17"/>
      <c r="O53" s="17"/>
      <c r="P53" s="17"/>
      <c r="Q53" s="18"/>
      <c r="R53" s="17"/>
    </row>
    <row r="54" spans="1:18" ht="14.25" customHeight="1" x14ac:dyDescent="0.15">
      <c r="A54" s="18"/>
      <c r="B54" s="17"/>
      <c r="C54" s="17"/>
      <c r="D54" s="17"/>
      <c r="E54" s="17"/>
      <c r="F54" s="17"/>
      <c r="G54" s="17"/>
      <c r="H54" s="17"/>
      <c r="I54" s="17"/>
      <c r="J54" s="17"/>
      <c r="K54" s="17"/>
      <c r="L54" s="17"/>
      <c r="M54" s="17"/>
      <c r="N54" s="17"/>
      <c r="O54" s="17"/>
      <c r="P54" s="17"/>
      <c r="Q54" s="18"/>
      <c r="R54" s="17"/>
    </row>
    <row r="55" spans="1:18" ht="14.25" customHeight="1" x14ac:dyDescent="0.15">
      <c r="A55" s="18"/>
      <c r="B55" s="17"/>
      <c r="C55" s="17"/>
      <c r="D55" s="17"/>
      <c r="E55" s="17"/>
      <c r="F55" s="17"/>
      <c r="G55" s="17"/>
      <c r="H55" s="17"/>
      <c r="I55" s="17"/>
      <c r="J55" s="17"/>
      <c r="K55" s="17"/>
      <c r="L55" s="17"/>
      <c r="M55" s="17"/>
      <c r="N55" s="17"/>
      <c r="O55" s="17"/>
      <c r="P55" s="17"/>
      <c r="Q55" s="18"/>
      <c r="R55" s="17"/>
    </row>
    <row r="56" spans="1:18" ht="14.25" customHeight="1" x14ac:dyDescent="0.15">
      <c r="A56" s="18"/>
      <c r="B56" s="17"/>
      <c r="C56" s="17"/>
      <c r="D56" s="17"/>
      <c r="E56" s="17"/>
      <c r="F56" s="17"/>
      <c r="G56" s="17"/>
      <c r="H56" s="17"/>
      <c r="I56" s="17"/>
      <c r="J56" s="17"/>
      <c r="K56" s="17"/>
      <c r="L56" s="17"/>
      <c r="M56" s="17"/>
      <c r="N56" s="17"/>
      <c r="O56" s="17"/>
      <c r="P56" s="17"/>
      <c r="Q56" s="18"/>
      <c r="R56" s="17"/>
    </row>
    <row r="57" spans="1:18" ht="14.25" customHeight="1" x14ac:dyDescent="0.15">
      <c r="A57" s="18"/>
      <c r="B57" s="17"/>
      <c r="C57" s="17"/>
      <c r="D57" s="17"/>
      <c r="E57" s="17"/>
      <c r="F57" s="17"/>
      <c r="G57" s="17"/>
      <c r="H57" s="17"/>
      <c r="I57" s="17"/>
      <c r="J57" s="17"/>
      <c r="K57" s="17"/>
      <c r="L57" s="17"/>
      <c r="M57" s="17"/>
      <c r="N57" s="17"/>
      <c r="O57" s="17"/>
      <c r="P57" s="17"/>
      <c r="Q57" s="18"/>
      <c r="R57" s="17"/>
    </row>
    <row r="58" spans="1:18" ht="14.25" customHeight="1" x14ac:dyDescent="0.15">
      <c r="A58" s="18"/>
      <c r="B58" s="17"/>
      <c r="C58" s="17"/>
      <c r="D58" s="17"/>
      <c r="E58" s="17"/>
      <c r="F58" s="17"/>
      <c r="G58" s="17"/>
      <c r="H58" s="17"/>
      <c r="I58" s="17"/>
      <c r="J58" s="17"/>
      <c r="K58" s="17"/>
      <c r="L58" s="17"/>
      <c r="M58" s="17"/>
      <c r="N58" s="17"/>
      <c r="O58" s="17"/>
      <c r="P58" s="17"/>
      <c r="Q58" s="18"/>
      <c r="R58" s="17"/>
    </row>
    <row r="59" spans="1:18" ht="14.25" customHeight="1" x14ac:dyDescent="0.15">
      <c r="A59" s="18"/>
      <c r="B59" s="17"/>
      <c r="C59" s="17"/>
      <c r="D59" s="17"/>
      <c r="E59" s="17"/>
      <c r="F59" s="17"/>
      <c r="G59" s="17"/>
      <c r="H59" s="17"/>
      <c r="I59" s="17"/>
      <c r="J59" s="17"/>
      <c r="K59" s="17"/>
      <c r="L59" s="17"/>
      <c r="M59" s="17"/>
      <c r="N59" s="17"/>
      <c r="O59" s="17"/>
      <c r="P59" s="17"/>
      <c r="Q59" s="18"/>
      <c r="R59" s="17"/>
    </row>
    <row r="60" spans="1:18" ht="14.25" customHeight="1" x14ac:dyDescent="0.15">
      <c r="A60" s="18"/>
      <c r="B60" s="17"/>
      <c r="C60" s="17"/>
      <c r="D60" s="17"/>
      <c r="E60" s="17"/>
      <c r="F60" s="17"/>
      <c r="G60" s="17"/>
      <c r="H60" s="17"/>
      <c r="I60" s="17"/>
      <c r="J60" s="17"/>
      <c r="K60" s="17"/>
      <c r="L60" s="17"/>
      <c r="M60" s="17"/>
      <c r="N60" s="17"/>
      <c r="O60" s="17"/>
      <c r="P60" s="17"/>
      <c r="Q60" s="18"/>
      <c r="R60" s="17"/>
    </row>
    <row r="61" spans="1:18" ht="14.25" customHeight="1" x14ac:dyDescent="0.15">
      <c r="A61" s="18"/>
      <c r="B61" s="17"/>
      <c r="C61" s="17"/>
      <c r="D61" s="17"/>
      <c r="E61" s="17"/>
      <c r="F61" s="17"/>
      <c r="G61" s="17"/>
      <c r="H61" s="17"/>
      <c r="I61" s="17"/>
      <c r="J61" s="17"/>
      <c r="K61" s="17"/>
      <c r="L61" s="17"/>
      <c r="M61" s="17"/>
      <c r="N61" s="17"/>
      <c r="O61" s="17"/>
      <c r="P61" s="17"/>
      <c r="Q61" s="18"/>
      <c r="R61" s="17"/>
    </row>
    <row r="62" spans="1:18" ht="14.25" customHeight="1" x14ac:dyDescent="0.15">
      <c r="A62" s="18"/>
      <c r="B62" s="17"/>
      <c r="C62" s="17"/>
      <c r="D62" s="17"/>
      <c r="E62" s="17"/>
      <c r="F62" s="17"/>
      <c r="G62" s="17"/>
      <c r="H62" s="17"/>
      <c r="I62" s="17"/>
      <c r="J62" s="17"/>
      <c r="K62" s="17"/>
      <c r="L62" s="17"/>
      <c r="M62" s="17"/>
      <c r="N62" s="17"/>
      <c r="O62" s="17"/>
      <c r="P62" s="17"/>
      <c r="Q62" s="18"/>
      <c r="R62" s="17"/>
    </row>
    <row r="63" spans="1:18" ht="14.25" customHeight="1" x14ac:dyDescent="0.15">
      <c r="A63" s="18"/>
      <c r="B63" s="17"/>
      <c r="C63" s="17"/>
      <c r="D63" s="17"/>
      <c r="E63" s="17"/>
      <c r="F63" s="17"/>
      <c r="G63" s="17"/>
      <c r="H63" s="17"/>
      <c r="I63" s="17"/>
      <c r="J63" s="17"/>
      <c r="K63" s="17"/>
      <c r="L63" s="17"/>
      <c r="M63" s="17"/>
      <c r="N63" s="17"/>
      <c r="O63" s="17"/>
      <c r="P63" s="17"/>
      <c r="Q63" s="18"/>
      <c r="R63" s="17"/>
    </row>
    <row r="64" spans="1:18" ht="14.25" customHeight="1" x14ac:dyDescent="0.15">
      <c r="A64" s="18"/>
      <c r="B64" s="17"/>
      <c r="C64" s="17"/>
      <c r="D64" s="17"/>
      <c r="E64" s="17"/>
      <c r="F64" s="17"/>
      <c r="G64" s="17"/>
      <c r="H64" s="17"/>
      <c r="I64" s="17"/>
      <c r="J64" s="17"/>
      <c r="K64" s="17"/>
      <c r="L64" s="17"/>
      <c r="M64" s="17"/>
      <c r="N64" s="17"/>
      <c r="O64" s="17"/>
      <c r="P64" s="17"/>
      <c r="Q64" s="18"/>
      <c r="R64" s="17"/>
    </row>
    <row r="65" spans="1:18" ht="14.25" customHeight="1" x14ac:dyDescent="0.15">
      <c r="A65" s="18"/>
      <c r="B65" s="17"/>
      <c r="C65" s="17"/>
      <c r="D65" s="17"/>
      <c r="E65" s="17"/>
      <c r="F65" s="17"/>
      <c r="G65" s="17"/>
      <c r="H65" s="17"/>
      <c r="I65" s="17"/>
      <c r="J65" s="17"/>
      <c r="K65" s="17"/>
      <c r="L65" s="17"/>
      <c r="M65" s="17"/>
      <c r="N65" s="17"/>
      <c r="O65" s="17"/>
      <c r="P65" s="17"/>
      <c r="Q65" s="18"/>
      <c r="R65" s="17"/>
    </row>
    <row r="66" spans="1:18" ht="14.25" customHeight="1" x14ac:dyDescent="0.15">
      <c r="A66" s="18"/>
      <c r="B66" s="17"/>
      <c r="C66" s="17"/>
      <c r="D66" s="17"/>
      <c r="E66" s="17"/>
      <c r="F66" s="17"/>
      <c r="G66" s="17"/>
      <c r="H66" s="17"/>
      <c r="I66" s="17"/>
      <c r="J66" s="17"/>
      <c r="K66" s="17"/>
      <c r="L66" s="17"/>
      <c r="M66" s="17"/>
      <c r="N66" s="17"/>
      <c r="O66" s="17"/>
      <c r="P66" s="17"/>
      <c r="Q66" s="18"/>
      <c r="R66" s="17"/>
    </row>
    <row r="67" spans="1:18" ht="14.25" customHeight="1" x14ac:dyDescent="0.15">
      <c r="A67" s="18"/>
      <c r="B67" s="17"/>
      <c r="C67" s="17"/>
      <c r="D67" s="17"/>
      <c r="E67" s="17"/>
      <c r="F67" s="17"/>
      <c r="G67" s="17"/>
      <c r="H67" s="17"/>
      <c r="I67" s="17"/>
      <c r="J67" s="17"/>
      <c r="K67" s="17"/>
      <c r="L67" s="17"/>
      <c r="M67" s="17"/>
      <c r="N67" s="17"/>
      <c r="O67" s="17"/>
      <c r="P67" s="17"/>
      <c r="Q67" s="18"/>
      <c r="R67" s="17"/>
    </row>
    <row r="68" spans="1:18" ht="14.25" customHeight="1" x14ac:dyDescent="0.15">
      <c r="A68" s="18"/>
      <c r="B68" s="17"/>
      <c r="C68" s="17"/>
      <c r="D68" s="17"/>
      <c r="E68" s="17"/>
      <c r="F68" s="17"/>
      <c r="G68" s="17"/>
      <c r="H68" s="17"/>
      <c r="I68" s="17"/>
      <c r="J68" s="17"/>
      <c r="K68" s="17"/>
      <c r="L68" s="17"/>
      <c r="M68" s="17"/>
      <c r="N68" s="17"/>
      <c r="O68" s="17"/>
      <c r="P68" s="17"/>
      <c r="Q68" s="18"/>
      <c r="R68" s="17"/>
    </row>
    <row r="69" spans="1:18" ht="14.25" customHeight="1" x14ac:dyDescent="0.15">
      <c r="A69" s="18"/>
      <c r="B69" s="17"/>
      <c r="C69" s="17"/>
      <c r="D69" s="17"/>
      <c r="E69" s="17"/>
      <c r="F69" s="17"/>
      <c r="G69" s="17"/>
      <c r="H69" s="17"/>
      <c r="I69" s="17"/>
      <c r="J69" s="17"/>
      <c r="K69" s="17"/>
      <c r="L69" s="17"/>
      <c r="M69" s="17"/>
      <c r="N69" s="17"/>
      <c r="O69" s="17"/>
      <c r="P69" s="17"/>
      <c r="Q69" s="18"/>
      <c r="R69" s="17"/>
    </row>
    <row r="70" spans="1:18" ht="14.25" customHeight="1" x14ac:dyDescent="0.15">
      <c r="A70" s="18"/>
      <c r="B70" s="17"/>
      <c r="C70" s="17"/>
      <c r="D70" s="17"/>
      <c r="E70" s="17"/>
      <c r="F70" s="17"/>
      <c r="G70" s="17"/>
      <c r="H70" s="17"/>
      <c r="I70" s="17"/>
      <c r="J70" s="17"/>
      <c r="K70" s="17"/>
      <c r="L70" s="17"/>
      <c r="M70" s="17"/>
      <c r="N70" s="17"/>
      <c r="O70" s="17"/>
      <c r="P70" s="17"/>
      <c r="Q70" s="18"/>
      <c r="R70" s="17"/>
    </row>
    <row r="71" spans="1:18" ht="14.25" customHeight="1" x14ac:dyDescent="0.15">
      <c r="A71" s="18"/>
      <c r="B71" s="17"/>
      <c r="C71" s="17"/>
      <c r="D71" s="17"/>
      <c r="E71" s="17"/>
      <c r="F71" s="17"/>
      <c r="G71" s="17"/>
      <c r="H71" s="17"/>
      <c r="I71" s="17"/>
      <c r="J71" s="17"/>
      <c r="K71" s="17"/>
      <c r="L71" s="17"/>
      <c r="M71" s="17"/>
      <c r="N71" s="17"/>
      <c r="O71" s="17"/>
      <c r="P71" s="17"/>
      <c r="Q71" s="18"/>
      <c r="R71" s="17"/>
    </row>
    <row r="72" spans="1:18" ht="14.25" customHeight="1" x14ac:dyDescent="0.15">
      <c r="A72" s="18"/>
      <c r="B72" s="17"/>
      <c r="C72" s="17"/>
      <c r="D72" s="17"/>
      <c r="E72" s="17"/>
      <c r="F72" s="17"/>
      <c r="G72" s="17"/>
      <c r="H72" s="17"/>
      <c r="I72" s="17"/>
      <c r="J72" s="17"/>
      <c r="K72" s="17"/>
      <c r="L72" s="17"/>
      <c r="M72" s="17"/>
      <c r="N72" s="17"/>
      <c r="O72" s="17"/>
      <c r="P72" s="17"/>
      <c r="Q72" s="18"/>
      <c r="R72" s="17"/>
    </row>
    <row r="73" spans="1:18" ht="14.25" customHeight="1" x14ac:dyDescent="0.15">
      <c r="A73" s="18"/>
      <c r="B73" s="17"/>
      <c r="C73" s="17"/>
      <c r="D73" s="17"/>
      <c r="E73" s="17"/>
      <c r="F73" s="17"/>
      <c r="G73" s="17"/>
      <c r="H73" s="17"/>
      <c r="I73" s="17"/>
      <c r="J73" s="17"/>
      <c r="K73" s="17"/>
      <c r="L73" s="17"/>
      <c r="M73" s="17"/>
      <c r="N73" s="17"/>
      <c r="O73" s="17"/>
      <c r="P73" s="17"/>
      <c r="Q73" s="18"/>
      <c r="R73" s="17"/>
    </row>
    <row r="74" spans="1:18" ht="14.25" customHeight="1" x14ac:dyDescent="0.15">
      <c r="A74" s="18"/>
      <c r="B74" s="17"/>
      <c r="C74" s="17"/>
      <c r="D74" s="17"/>
      <c r="E74" s="17"/>
      <c r="F74" s="17"/>
      <c r="G74" s="17"/>
      <c r="H74" s="17"/>
      <c r="I74" s="17"/>
      <c r="J74" s="17"/>
      <c r="K74" s="17"/>
      <c r="L74" s="17"/>
      <c r="M74" s="17"/>
      <c r="N74" s="17"/>
      <c r="O74" s="17"/>
      <c r="P74" s="17"/>
      <c r="Q74" s="18"/>
      <c r="R74" s="17"/>
    </row>
    <row r="75" spans="1:18" ht="14.25" customHeight="1" x14ac:dyDescent="0.15">
      <c r="A75" s="18"/>
      <c r="B75" s="17"/>
      <c r="C75" s="17"/>
      <c r="D75" s="17"/>
      <c r="E75" s="17"/>
      <c r="F75" s="17"/>
      <c r="G75" s="17"/>
      <c r="H75" s="17"/>
      <c r="I75" s="17"/>
      <c r="J75" s="17"/>
      <c r="K75" s="17"/>
      <c r="L75" s="17"/>
      <c r="M75" s="17"/>
      <c r="N75" s="17"/>
      <c r="O75" s="17"/>
      <c r="P75" s="17"/>
      <c r="Q75" s="18"/>
      <c r="R75" s="17"/>
    </row>
    <row r="76" spans="1:18" x14ac:dyDescent="0.15">
      <c r="A76" s="18"/>
      <c r="B76" s="17"/>
      <c r="C76" s="17"/>
      <c r="D76" s="17"/>
      <c r="E76" s="17"/>
      <c r="F76" s="17"/>
      <c r="G76" s="17"/>
      <c r="H76" s="17"/>
      <c r="I76" s="17"/>
      <c r="J76" s="17"/>
      <c r="K76" s="17"/>
      <c r="L76" s="17"/>
      <c r="M76" s="17"/>
      <c r="N76" s="17"/>
      <c r="O76" s="17"/>
      <c r="P76" s="17"/>
      <c r="Q76" s="18"/>
      <c r="R76" s="17"/>
    </row>
    <row r="77" spans="1:18" x14ac:dyDescent="0.15">
      <c r="A77" s="18"/>
      <c r="B77" s="17"/>
      <c r="C77" s="17"/>
      <c r="D77" s="17"/>
      <c r="E77" s="17"/>
      <c r="F77" s="17"/>
      <c r="G77" s="17"/>
      <c r="H77" s="17"/>
      <c r="I77" s="17"/>
      <c r="J77" s="17"/>
      <c r="K77" s="17"/>
      <c r="L77" s="17"/>
      <c r="M77" s="17"/>
      <c r="N77" s="17"/>
      <c r="O77" s="17"/>
      <c r="P77" s="17"/>
      <c r="Q77" s="18"/>
      <c r="R77" s="17"/>
    </row>
    <row r="78" spans="1:18" x14ac:dyDescent="0.15">
      <c r="A78" s="18"/>
      <c r="B78" s="17"/>
      <c r="C78" s="17"/>
      <c r="D78" s="17"/>
      <c r="E78" s="17"/>
      <c r="F78" s="17"/>
      <c r="G78" s="17"/>
      <c r="H78" s="17"/>
      <c r="I78" s="17"/>
      <c r="J78" s="17"/>
      <c r="K78" s="17"/>
      <c r="L78" s="17"/>
      <c r="M78" s="17"/>
      <c r="N78" s="17"/>
      <c r="O78" s="17"/>
      <c r="P78" s="17"/>
      <c r="Q78" s="18"/>
      <c r="R78" s="17"/>
    </row>
    <row r="79" spans="1:18" ht="14.25" customHeight="1" x14ac:dyDescent="0.15">
      <c r="A79" s="20"/>
      <c r="B79" s="21"/>
      <c r="C79" s="21"/>
      <c r="D79" s="21"/>
      <c r="E79" s="21"/>
      <c r="F79" s="21"/>
      <c r="G79" s="21"/>
      <c r="H79" s="21"/>
      <c r="I79" s="21"/>
      <c r="J79" s="21"/>
      <c r="K79" s="21"/>
      <c r="L79" s="21"/>
      <c r="M79" s="21"/>
      <c r="N79" s="21"/>
      <c r="O79" s="21"/>
      <c r="P79" s="21"/>
      <c r="Q79" s="18"/>
      <c r="R79" s="17"/>
    </row>
    <row r="80" spans="1:18" x14ac:dyDescent="0.15">
      <c r="A80" s="17"/>
      <c r="B80" s="17"/>
      <c r="C80" s="17"/>
      <c r="D80" s="17"/>
      <c r="E80" s="17"/>
      <c r="F80" s="17"/>
      <c r="G80" s="17"/>
      <c r="J80" s="17"/>
      <c r="K80" s="17"/>
      <c r="L80" s="17"/>
      <c r="M80" s="17"/>
      <c r="N80" s="17"/>
      <c r="O80" s="17"/>
      <c r="P80" s="17"/>
    </row>
    <row r="82" spans="1:16" x14ac:dyDescent="0.15">
      <c r="A82" s="17"/>
      <c r="B82" s="17"/>
      <c r="C82" s="17"/>
      <c r="D82" s="17"/>
      <c r="E82" s="17"/>
      <c r="F82" s="17"/>
      <c r="G82" s="17"/>
      <c r="J82" s="17"/>
      <c r="K82" s="17"/>
      <c r="L82" s="17"/>
      <c r="M82" s="17"/>
      <c r="N82" s="17"/>
      <c r="O82" s="17"/>
      <c r="P82" s="17"/>
    </row>
    <row r="83" spans="1:16" x14ac:dyDescent="0.15">
      <c r="A83" s="17"/>
      <c r="B83" s="17"/>
      <c r="C83" s="17"/>
      <c r="D83" s="17"/>
      <c r="E83" s="17"/>
      <c r="F83" s="17"/>
      <c r="G83" s="17"/>
      <c r="J83" s="17"/>
      <c r="K83" s="17"/>
      <c r="L83" s="17"/>
      <c r="M83" s="17"/>
      <c r="N83" s="17"/>
      <c r="O83" s="17"/>
      <c r="P83" s="17"/>
    </row>
    <row r="84" spans="1:16" ht="25.5" x14ac:dyDescent="0.15">
      <c r="A84" s="17"/>
      <c r="B84" s="144" t="s">
        <v>70</v>
      </c>
      <c r="C84" s="144"/>
      <c r="D84" s="144"/>
      <c r="E84" s="17"/>
      <c r="F84" s="17"/>
      <c r="G84" s="17"/>
      <c r="H84" s="116" t="s">
        <v>69</v>
      </c>
      <c r="I84" s="116"/>
      <c r="L84" s="17"/>
      <c r="M84" s="17"/>
      <c r="N84" s="17"/>
      <c r="O84" s="17"/>
      <c r="P84" s="17"/>
    </row>
    <row r="85" spans="1:16" ht="30.75" customHeight="1" x14ac:dyDescent="0.15">
      <c r="A85" s="17"/>
      <c r="B85" s="17"/>
      <c r="C85" s="17"/>
      <c r="D85" s="17"/>
      <c r="E85" s="17"/>
      <c r="F85" s="17"/>
      <c r="G85" s="17"/>
      <c r="H85" s="23" t="s">
        <v>72</v>
      </c>
      <c r="I85" s="24">
        <f ca="1">TODAY()</f>
        <v>45007</v>
      </c>
      <c r="L85" s="17"/>
      <c r="M85" s="17"/>
      <c r="N85" s="17"/>
      <c r="O85" s="17"/>
      <c r="P85" s="17"/>
    </row>
    <row r="86" spans="1:16" ht="30.75" customHeight="1" x14ac:dyDescent="0.15">
      <c r="A86" s="17"/>
      <c r="B86" s="123"/>
      <c r="C86" s="148" t="s">
        <v>38</v>
      </c>
      <c r="D86" s="120" t="s">
        <v>64</v>
      </c>
      <c r="E86" s="121"/>
      <c r="F86" s="122"/>
      <c r="G86" s="123" t="s">
        <v>67</v>
      </c>
      <c r="H86" s="123" t="s">
        <v>68</v>
      </c>
      <c r="I86" s="117" t="s">
        <v>77</v>
      </c>
      <c r="L86" s="25"/>
      <c r="M86" s="26"/>
      <c r="N86" s="17"/>
      <c r="O86" s="17"/>
      <c r="P86" s="17"/>
    </row>
    <row r="87" spans="1:16" ht="30.75" customHeight="1" thickBot="1" x14ac:dyDescent="0.2">
      <c r="A87" s="17"/>
      <c r="B87" s="145"/>
      <c r="C87" s="123"/>
      <c r="D87" s="27" t="s">
        <v>63</v>
      </c>
      <c r="E87" s="28" t="s">
        <v>44</v>
      </c>
      <c r="F87" s="29" t="s">
        <v>45</v>
      </c>
      <c r="G87" s="124"/>
      <c r="H87" s="124"/>
      <c r="I87" s="118"/>
      <c r="L87" s="25"/>
      <c r="M87" s="30"/>
      <c r="N87" s="17"/>
      <c r="O87" s="17"/>
      <c r="P87" s="17"/>
    </row>
    <row r="88" spans="1:16" ht="30.75" customHeight="1" thickBot="1" x14ac:dyDescent="0.2">
      <c r="A88" s="17"/>
      <c r="B88" s="31" t="s">
        <v>11</v>
      </c>
      <c r="C88" s="1"/>
      <c r="D88" s="110"/>
      <c r="E88" s="2"/>
      <c r="F88" s="2"/>
      <c r="G88" s="7"/>
      <c r="H88" s="7"/>
      <c r="I88" s="8"/>
      <c r="J88" s="32" t="str">
        <f t="shared" ref="J88:J93" si="0">IF(D88="","年齢未入力","")</f>
        <v>年齢未入力</v>
      </c>
      <c r="K88" s="32" t="str">
        <f>IF(OR(C88="〇",C88="×"),IF(J88="年齢未入力","加入者の年齢未入力",""),"")</f>
        <v/>
      </c>
      <c r="L88" s="27"/>
      <c r="M88" s="17"/>
      <c r="P88" s="17"/>
    </row>
    <row r="89" spans="1:16" ht="30.75" customHeight="1" x14ac:dyDescent="0.15">
      <c r="A89" s="17"/>
      <c r="B89" s="33" t="s">
        <v>12</v>
      </c>
      <c r="C89" s="3"/>
      <c r="D89" s="111"/>
      <c r="E89" s="4"/>
      <c r="F89" s="4"/>
      <c r="G89" s="9"/>
      <c r="H89" s="9"/>
      <c r="I89" s="9"/>
      <c r="J89" s="32" t="str">
        <f t="shared" si="0"/>
        <v>年齢未入力</v>
      </c>
      <c r="K89" s="32" t="str">
        <f>IF(C89="〇",IF(J89="年齢未入力","加入者の年齢未入力",""),"")</f>
        <v/>
      </c>
      <c r="L89" s="27"/>
      <c r="M89" s="17"/>
      <c r="P89" s="17"/>
    </row>
    <row r="90" spans="1:16" ht="30.75" customHeight="1" x14ac:dyDescent="0.15">
      <c r="A90" s="17"/>
      <c r="B90" s="34" t="s">
        <v>13</v>
      </c>
      <c r="C90" s="5"/>
      <c r="D90" s="112"/>
      <c r="E90" s="6"/>
      <c r="F90" s="6"/>
      <c r="G90" s="9"/>
      <c r="H90" s="10"/>
      <c r="I90" s="10"/>
      <c r="J90" s="32" t="str">
        <f t="shared" si="0"/>
        <v>年齢未入力</v>
      </c>
      <c r="K90" s="32" t="str">
        <f>IF(C90="〇",IF(J90="年齢未入力","加入者の年齢未入力",""),"")</f>
        <v/>
      </c>
      <c r="L90" s="27"/>
      <c r="M90" s="17"/>
      <c r="P90" s="17"/>
    </row>
    <row r="91" spans="1:16" ht="30.75" customHeight="1" x14ac:dyDescent="0.15">
      <c r="A91" s="17"/>
      <c r="B91" s="34" t="s">
        <v>14</v>
      </c>
      <c r="C91" s="5"/>
      <c r="D91" s="112"/>
      <c r="E91" s="6"/>
      <c r="F91" s="6"/>
      <c r="G91" s="10"/>
      <c r="H91" s="10"/>
      <c r="I91" s="10"/>
      <c r="J91" s="32" t="str">
        <f t="shared" si="0"/>
        <v>年齢未入力</v>
      </c>
      <c r="K91" s="32" t="str">
        <f>IF(C91="〇",IF(J91="年齢未入力","加入者の年齢未入力",""),"")</f>
        <v/>
      </c>
      <c r="L91" s="27"/>
      <c r="M91" s="17"/>
      <c r="P91" s="17"/>
    </row>
    <row r="92" spans="1:16" ht="30.75" customHeight="1" x14ac:dyDescent="0.15">
      <c r="A92" s="17"/>
      <c r="B92" s="34" t="s">
        <v>15</v>
      </c>
      <c r="C92" s="5"/>
      <c r="D92" s="112"/>
      <c r="E92" s="6"/>
      <c r="F92" s="6"/>
      <c r="G92" s="10"/>
      <c r="H92" s="10"/>
      <c r="I92" s="10"/>
      <c r="J92" s="32" t="str">
        <f t="shared" si="0"/>
        <v>年齢未入力</v>
      </c>
      <c r="K92" s="32" t="str">
        <f>IF(C92="〇",IF(J92="年齢未入力","加入者の年齢未入力",""),"")</f>
        <v/>
      </c>
      <c r="L92" s="27"/>
      <c r="M92" s="17"/>
      <c r="P92" s="17"/>
    </row>
    <row r="93" spans="1:16" ht="30.75" customHeight="1" x14ac:dyDescent="0.15">
      <c r="A93" s="17"/>
      <c r="B93" s="34" t="s">
        <v>16</v>
      </c>
      <c r="C93" s="5"/>
      <c r="D93" s="112"/>
      <c r="E93" s="6"/>
      <c r="F93" s="6"/>
      <c r="G93" s="10"/>
      <c r="H93" s="10"/>
      <c r="I93" s="10"/>
      <c r="J93" s="32" t="str">
        <f t="shared" si="0"/>
        <v>年齢未入力</v>
      </c>
      <c r="K93" s="32" t="str">
        <f>IF(C93="〇",IF(J93="年齢未入力","加入者の年齢未入力",""),"")</f>
        <v/>
      </c>
      <c r="L93" s="27"/>
      <c r="M93" s="17"/>
      <c r="P93" s="17"/>
    </row>
    <row r="94" spans="1:16" ht="20.25" customHeight="1" x14ac:dyDescent="0.15">
      <c r="A94" s="17"/>
      <c r="B94" s="17"/>
      <c r="C94" s="17"/>
      <c r="D94" s="17"/>
      <c r="E94" s="17"/>
      <c r="F94" s="17"/>
      <c r="G94" s="17"/>
      <c r="H94" s="17"/>
      <c r="I94" s="17"/>
      <c r="J94" s="17"/>
      <c r="K94" s="17"/>
      <c r="L94" s="17"/>
      <c r="M94" s="27"/>
      <c r="N94" s="17"/>
      <c r="O94" s="17"/>
      <c r="P94" s="17"/>
    </row>
    <row r="95" spans="1:16" x14ac:dyDescent="0.15">
      <c r="A95" s="17"/>
      <c r="B95" s="119" t="str">
        <f>IF(C88="","世帯主の欄は、社保等の適用で国保以外の場合も必ず入力してください","")</f>
        <v>世帯主の欄は、社保等の適用で国保以外の場合も必ず入力してください</v>
      </c>
      <c r="C95" s="119"/>
      <c r="D95" s="119"/>
      <c r="E95" s="119"/>
      <c r="F95" s="119"/>
      <c r="G95" s="119"/>
      <c r="H95" s="119"/>
      <c r="I95" s="17"/>
      <c r="J95" s="17"/>
      <c r="K95" s="17"/>
      <c r="L95" s="17"/>
      <c r="M95" s="17"/>
      <c r="N95" s="17"/>
      <c r="O95" s="17"/>
      <c r="P95" s="17"/>
    </row>
    <row r="96" spans="1:16" x14ac:dyDescent="0.15">
      <c r="A96" s="17"/>
      <c r="B96" s="119"/>
      <c r="C96" s="119"/>
      <c r="D96" s="119"/>
      <c r="E96" s="119"/>
      <c r="F96" s="119"/>
      <c r="G96" s="119"/>
      <c r="H96" s="119"/>
      <c r="I96" s="17"/>
      <c r="J96" s="17"/>
      <c r="K96" s="17"/>
      <c r="L96" s="17"/>
      <c r="M96" s="17"/>
      <c r="N96" s="17"/>
      <c r="O96" s="17"/>
      <c r="P96" s="17"/>
    </row>
    <row r="97" spans="1:16" x14ac:dyDescent="0.15">
      <c r="A97" s="17"/>
      <c r="B97" s="115" t="str">
        <f>IF(COUNTIF(K88:K93,"加入者の年齢未入力")&gt;=1,"世帯主、加入者の生年月日を入力してください。","")</f>
        <v/>
      </c>
      <c r="C97" s="115"/>
      <c r="D97" s="115"/>
      <c r="E97" s="115"/>
      <c r="F97" s="115"/>
      <c r="G97" s="17"/>
      <c r="H97" s="17"/>
      <c r="I97" s="17"/>
      <c r="J97" s="17"/>
      <c r="K97" s="17"/>
      <c r="L97" s="17"/>
      <c r="M97" s="17"/>
      <c r="N97" s="17"/>
      <c r="O97" s="17"/>
      <c r="P97" s="17"/>
    </row>
    <row r="98" spans="1:16" x14ac:dyDescent="0.15">
      <c r="A98" s="17"/>
      <c r="B98" s="115"/>
      <c r="C98" s="115"/>
      <c r="D98" s="115"/>
      <c r="E98" s="115"/>
      <c r="F98" s="115"/>
      <c r="G98" s="17"/>
      <c r="H98" s="17"/>
      <c r="I98" s="17"/>
      <c r="J98" s="17"/>
      <c r="K98" s="17"/>
      <c r="L98" s="17"/>
      <c r="M98" s="17"/>
      <c r="N98" s="17"/>
      <c r="O98" s="17"/>
      <c r="P98" s="17"/>
    </row>
    <row r="99" spans="1:16" ht="24.75" thickBot="1" x14ac:dyDescent="0.2">
      <c r="A99" s="17"/>
      <c r="B99" s="143" t="s">
        <v>78</v>
      </c>
      <c r="C99" s="143"/>
      <c r="D99" s="143"/>
      <c r="E99" s="17"/>
      <c r="F99" s="17"/>
      <c r="G99" s="17"/>
      <c r="H99" s="17"/>
      <c r="I99" s="17"/>
      <c r="J99" s="17"/>
      <c r="K99" s="17"/>
      <c r="L99" s="17"/>
      <c r="M99" s="17"/>
      <c r="N99" s="17"/>
      <c r="O99" s="17"/>
      <c r="P99" s="17"/>
    </row>
    <row r="100" spans="1:16" ht="21" x14ac:dyDescent="0.15">
      <c r="A100" s="17"/>
      <c r="B100" s="151" t="s">
        <v>48</v>
      </c>
      <c r="C100" s="149" t="s">
        <v>49</v>
      </c>
      <c r="D100" s="149"/>
      <c r="E100" s="149" t="s">
        <v>50</v>
      </c>
      <c r="F100" s="149"/>
      <c r="G100" s="149" t="s">
        <v>51</v>
      </c>
      <c r="H100" s="150"/>
      <c r="I100" s="133" t="s">
        <v>66</v>
      </c>
      <c r="J100" s="134"/>
      <c r="L100" s="35"/>
      <c r="M100" s="17"/>
      <c r="N100" s="17"/>
      <c r="O100" s="17"/>
      <c r="P100" s="17"/>
    </row>
    <row r="101" spans="1:16" ht="21" x14ac:dyDescent="0.15">
      <c r="A101" s="17"/>
      <c r="B101" s="152"/>
      <c r="C101" s="149"/>
      <c r="D101" s="149"/>
      <c r="E101" s="149"/>
      <c r="F101" s="149"/>
      <c r="G101" s="149"/>
      <c r="H101" s="150"/>
      <c r="I101" s="135"/>
      <c r="J101" s="136"/>
      <c r="L101" s="35"/>
      <c r="M101" s="17"/>
      <c r="N101" s="17"/>
      <c r="O101" s="17"/>
      <c r="P101" s="17"/>
    </row>
    <row r="102" spans="1:16" ht="21" x14ac:dyDescent="0.15">
      <c r="A102" s="17"/>
      <c r="B102" s="151" t="s">
        <v>47</v>
      </c>
      <c r="C102" s="146">
        <f>'計算シート（入力不可）'!B52</f>
        <v>0</v>
      </c>
      <c r="D102" s="146"/>
      <c r="E102" s="146">
        <f>'計算シート（入力不可）'!E52</f>
        <v>0</v>
      </c>
      <c r="F102" s="146"/>
      <c r="G102" s="146">
        <f>'計算シート（入力不可）'!H52</f>
        <v>0</v>
      </c>
      <c r="H102" s="147"/>
      <c r="I102" s="129">
        <f>'計算シート（入力不可）'!B55</f>
        <v>0</v>
      </c>
      <c r="J102" s="130"/>
      <c r="L102" s="35"/>
      <c r="M102" s="17"/>
      <c r="N102" s="17"/>
      <c r="O102" s="17"/>
      <c r="P102" s="17"/>
    </row>
    <row r="103" spans="1:16" ht="21.75" thickBot="1" x14ac:dyDescent="0.2">
      <c r="A103" s="17"/>
      <c r="B103" s="152"/>
      <c r="C103" s="146"/>
      <c r="D103" s="146"/>
      <c r="E103" s="146"/>
      <c r="F103" s="146"/>
      <c r="G103" s="146"/>
      <c r="H103" s="147"/>
      <c r="I103" s="131"/>
      <c r="J103" s="132"/>
      <c r="L103" s="35"/>
      <c r="M103" s="17"/>
      <c r="N103" s="17"/>
      <c r="O103" s="17"/>
      <c r="P103" s="17"/>
    </row>
    <row r="104" spans="1:16" x14ac:dyDescent="0.15">
      <c r="A104" s="17"/>
      <c r="B104" s="17"/>
      <c r="C104" s="17"/>
      <c r="D104" s="17"/>
      <c r="E104" s="17"/>
      <c r="F104" s="17"/>
      <c r="G104" s="17"/>
      <c r="H104" s="17"/>
      <c r="I104" s="17"/>
      <c r="J104" s="17"/>
      <c r="K104" s="17"/>
      <c r="L104" s="17"/>
      <c r="M104" s="17"/>
      <c r="N104" s="17"/>
      <c r="O104" s="17"/>
      <c r="P104" s="17"/>
    </row>
    <row r="106" spans="1:16" ht="18.75" x14ac:dyDescent="0.2">
      <c r="B106" s="45" t="s">
        <v>282</v>
      </c>
    </row>
    <row r="110" spans="1:16" ht="15" thickBot="1" x14ac:dyDescent="0.2">
      <c r="B110" s="36" t="s">
        <v>281</v>
      </c>
      <c r="C110" s="37" t="s">
        <v>62</v>
      </c>
      <c r="D110" s="38" t="s">
        <v>281</v>
      </c>
      <c r="E110" s="37" t="s">
        <v>62</v>
      </c>
      <c r="F110" s="38" t="s">
        <v>281</v>
      </c>
      <c r="G110" s="37" t="s">
        <v>62</v>
      </c>
      <c r="H110" s="38" t="s">
        <v>281</v>
      </c>
      <c r="I110" s="36" t="s">
        <v>62</v>
      </c>
    </row>
    <row r="111" spans="1:16" ht="15" thickTop="1" x14ac:dyDescent="0.15">
      <c r="B111" s="39" t="s">
        <v>79</v>
      </c>
      <c r="C111" s="40" t="s">
        <v>101</v>
      </c>
      <c r="D111" s="41" t="s">
        <v>129</v>
      </c>
      <c r="E111" s="40" t="s">
        <v>145</v>
      </c>
      <c r="F111" s="41" t="s">
        <v>194</v>
      </c>
      <c r="G111" s="40" t="s">
        <v>212</v>
      </c>
      <c r="H111" s="41" t="s">
        <v>241</v>
      </c>
      <c r="I111" s="39" t="s">
        <v>259</v>
      </c>
    </row>
    <row r="112" spans="1:16" x14ac:dyDescent="0.15">
      <c r="B112" s="42" t="s">
        <v>80</v>
      </c>
      <c r="C112" s="43" t="s">
        <v>102</v>
      </c>
      <c r="D112" s="44" t="s">
        <v>130</v>
      </c>
      <c r="E112" s="43" t="s">
        <v>146</v>
      </c>
      <c r="F112" s="44" t="s">
        <v>195</v>
      </c>
      <c r="G112" s="43" t="s">
        <v>213</v>
      </c>
      <c r="H112" s="44" t="s">
        <v>242</v>
      </c>
      <c r="I112" s="42" t="s">
        <v>260</v>
      </c>
    </row>
    <row r="113" spans="2:9" x14ac:dyDescent="0.15">
      <c r="B113" s="42" t="s">
        <v>81</v>
      </c>
      <c r="C113" s="43" t="s">
        <v>103</v>
      </c>
      <c r="D113" s="44" t="s">
        <v>131</v>
      </c>
      <c r="E113" s="43" t="s">
        <v>147</v>
      </c>
      <c r="F113" s="44" t="s">
        <v>196</v>
      </c>
      <c r="G113" s="43" t="s">
        <v>214</v>
      </c>
      <c r="H113" s="44" t="s">
        <v>243</v>
      </c>
      <c r="I113" s="42" t="s">
        <v>261</v>
      </c>
    </row>
    <row r="114" spans="2:9" x14ac:dyDescent="0.15">
      <c r="B114" s="42" t="s">
        <v>82</v>
      </c>
      <c r="C114" s="43" t="s">
        <v>104</v>
      </c>
      <c r="D114" s="44" t="s">
        <v>132</v>
      </c>
      <c r="E114" s="43" t="s">
        <v>148</v>
      </c>
      <c r="F114" s="44" t="s">
        <v>197</v>
      </c>
      <c r="G114" s="43" t="s">
        <v>215</v>
      </c>
      <c r="H114" s="44" t="s">
        <v>244</v>
      </c>
      <c r="I114" s="42" t="s">
        <v>262</v>
      </c>
    </row>
    <row r="115" spans="2:9" ht="15" thickBot="1" x14ac:dyDescent="0.2">
      <c r="B115" s="106" t="s">
        <v>83</v>
      </c>
      <c r="C115" s="107" t="s">
        <v>278</v>
      </c>
      <c r="D115" s="96" t="s">
        <v>133</v>
      </c>
      <c r="E115" s="95" t="s">
        <v>149</v>
      </c>
      <c r="F115" s="44" t="s">
        <v>198</v>
      </c>
      <c r="G115" s="43" t="s">
        <v>216</v>
      </c>
      <c r="H115" s="44" t="s">
        <v>245</v>
      </c>
      <c r="I115" s="42" t="s">
        <v>263</v>
      </c>
    </row>
    <row r="116" spans="2:9" ht="15.75" thickTop="1" thickBot="1" x14ac:dyDescent="0.2">
      <c r="B116" s="39" t="s">
        <v>84</v>
      </c>
      <c r="C116" s="40" t="s">
        <v>105</v>
      </c>
      <c r="D116" s="41" t="s">
        <v>134</v>
      </c>
      <c r="E116" s="40" t="s">
        <v>150</v>
      </c>
      <c r="F116" s="96" t="s">
        <v>199</v>
      </c>
      <c r="G116" s="95" t="s">
        <v>217</v>
      </c>
      <c r="H116" s="44" t="s">
        <v>246</v>
      </c>
      <c r="I116" s="42" t="s">
        <v>264</v>
      </c>
    </row>
    <row r="117" spans="2:9" ht="15" thickTop="1" x14ac:dyDescent="0.15">
      <c r="B117" s="42" t="s">
        <v>85</v>
      </c>
      <c r="C117" s="43" t="s">
        <v>106</v>
      </c>
      <c r="D117" s="44" t="s">
        <v>135</v>
      </c>
      <c r="E117" s="43" t="s">
        <v>151</v>
      </c>
      <c r="F117" s="41" t="s">
        <v>200</v>
      </c>
      <c r="G117" s="40" t="s">
        <v>218</v>
      </c>
      <c r="H117" s="44" t="s">
        <v>247</v>
      </c>
      <c r="I117" s="42" t="s">
        <v>265</v>
      </c>
    </row>
    <row r="118" spans="2:9" x14ac:dyDescent="0.15">
      <c r="B118" s="42" t="s">
        <v>86</v>
      </c>
      <c r="C118" s="43" t="s">
        <v>107</v>
      </c>
      <c r="D118" s="44" t="s">
        <v>136</v>
      </c>
      <c r="E118" s="43" t="s">
        <v>152</v>
      </c>
      <c r="F118" s="44" t="s">
        <v>201</v>
      </c>
      <c r="G118" s="43" t="s">
        <v>219</v>
      </c>
      <c r="H118" s="44" t="s">
        <v>248</v>
      </c>
      <c r="I118" s="42" t="s">
        <v>266</v>
      </c>
    </row>
    <row r="119" spans="2:9" x14ac:dyDescent="0.15">
      <c r="B119" s="42" t="s">
        <v>87</v>
      </c>
      <c r="C119" s="43" t="s">
        <v>108</v>
      </c>
      <c r="D119" s="44" t="s">
        <v>137</v>
      </c>
      <c r="E119" s="43" t="s">
        <v>153</v>
      </c>
      <c r="F119" s="44" t="s">
        <v>202</v>
      </c>
      <c r="G119" s="43" t="s">
        <v>220</v>
      </c>
      <c r="H119" s="44" t="s">
        <v>267</v>
      </c>
      <c r="I119" s="42" t="s">
        <v>268</v>
      </c>
    </row>
    <row r="120" spans="2:9" ht="15" thickBot="1" x14ac:dyDescent="0.2">
      <c r="B120" s="42" t="s">
        <v>88</v>
      </c>
      <c r="C120" s="43" t="s">
        <v>109</v>
      </c>
      <c r="D120" s="44" t="s">
        <v>154</v>
      </c>
      <c r="E120" s="43" t="s">
        <v>155</v>
      </c>
      <c r="F120" s="108" t="s">
        <v>203</v>
      </c>
      <c r="G120" s="107" t="s">
        <v>279</v>
      </c>
      <c r="H120" s="96" t="s">
        <v>269</v>
      </c>
      <c r="I120" s="94" t="s">
        <v>274</v>
      </c>
    </row>
    <row r="121" spans="2:9" ht="15.75" thickTop="1" thickBot="1" x14ac:dyDescent="0.2">
      <c r="B121" s="42" t="s">
        <v>89</v>
      </c>
      <c r="C121" s="43" t="s">
        <v>110</v>
      </c>
      <c r="D121" s="44" t="s">
        <v>156</v>
      </c>
      <c r="E121" s="43" t="s">
        <v>174</v>
      </c>
      <c r="F121" s="41" t="s">
        <v>204</v>
      </c>
      <c r="G121" s="40" t="s">
        <v>221</v>
      </c>
      <c r="H121" s="108" t="s">
        <v>270</v>
      </c>
      <c r="I121" s="109" t="s">
        <v>280</v>
      </c>
    </row>
    <row r="122" spans="2:9" ht="15" thickTop="1" x14ac:dyDescent="0.15">
      <c r="B122" s="42" t="s">
        <v>90</v>
      </c>
      <c r="C122" s="43" t="s">
        <v>111</v>
      </c>
      <c r="D122" s="44" t="s">
        <v>157</v>
      </c>
      <c r="E122" s="43" t="s">
        <v>175</v>
      </c>
      <c r="F122" s="44" t="s">
        <v>205</v>
      </c>
      <c r="G122" s="43" t="s">
        <v>222</v>
      </c>
      <c r="H122" s="41" t="s">
        <v>271</v>
      </c>
      <c r="I122" s="39" t="s">
        <v>275</v>
      </c>
    </row>
    <row r="123" spans="2:9" x14ac:dyDescent="0.15">
      <c r="B123" s="42" t="s">
        <v>91</v>
      </c>
      <c r="C123" s="43" t="s">
        <v>112</v>
      </c>
      <c r="D123" s="44" t="s">
        <v>158</v>
      </c>
      <c r="E123" s="43" t="s">
        <v>176</v>
      </c>
      <c r="F123" s="44" t="s">
        <v>206</v>
      </c>
      <c r="G123" s="43" t="s">
        <v>223</v>
      </c>
      <c r="H123" s="44" t="s">
        <v>272</v>
      </c>
      <c r="I123" s="42" t="s">
        <v>276</v>
      </c>
    </row>
    <row r="124" spans="2:9" ht="15" thickBot="1" x14ac:dyDescent="0.2">
      <c r="B124" s="94" t="s">
        <v>92</v>
      </c>
      <c r="C124" s="95" t="s">
        <v>113</v>
      </c>
      <c r="D124" s="44" t="s">
        <v>159</v>
      </c>
      <c r="E124" s="43" t="s">
        <v>177</v>
      </c>
      <c r="F124" s="44" t="s">
        <v>207</v>
      </c>
      <c r="G124" s="43" t="s">
        <v>224</v>
      </c>
      <c r="H124" s="44" t="s">
        <v>273</v>
      </c>
      <c r="I124" s="42" t="s">
        <v>277</v>
      </c>
    </row>
    <row r="125" spans="2:9" ht="15.75" thickTop="1" thickBot="1" x14ac:dyDescent="0.2">
      <c r="B125" s="39" t="s">
        <v>93</v>
      </c>
      <c r="C125" s="40" t="s">
        <v>114</v>
      </c>
      <c r="D125" s="96" t="s">
        <v>160</v>
      </c>
      <c r="E125" s="95" t="s">
        <v>178</v>
      </c>
      <c r="F125" s="44" t="s">
        <v>208</v>
      </c>
      <c r="G125" s="42" t="s">
        <v>225</v>
      </c>
      <c r="H125" s="44" t="s">
        <v>283</v>
      </c>
      <c r="I125" s="42" t="s">
        <v>284</v>
      </c>
    </row>
    <row r="126" spans="2:9" ht="15" thickTop="1" x14ac:dyDescent="0.15">
      <c r="B126" s="42" t="s">
        <v>94</v>
      </c>
      <c r="C126" s="43" t="s">
        <v>115</v>
      </c>
      <c r="D126" s="41" t="s">
        <v>161</v>
      </c>
      <c r="E126" s="40" t="s">
        <v>179</v>
      </c>
      <c r="F126" s="44" t="s">
        <v>209</v>
      </c>
      <c r="G126" s="42" t="s">
        <v>226</v>
      </c>
    </row>
    <row r="127" spans="2:9" x14ac:dyDescent="0.15">
      <c r="B127" s="42" t="s">
        <v>95</v>
      </c>
      <c r="C127" s="43" t="s">
        <v>116</v>
      </c>
      <c r="D127" s="44" t="s">
        <v>162</v>
      </c>
      <c r="E127" s="43" t="s">
        <v>180</v>
      </c>
      <c r="F127" s="44" t="s">
        <v>210</v>
      </c>
      <c r="G127" s="42" t="s">
        <v>227</v>
      </c>
    </row>
    <row r="128" spans="2:9" x14ac:dyDescent="0.15">
      <c r="B128" s="42" t="s">
        <v>96</v>
      </c>
      <c r="C128" s="43" t="s">
        <v>117</v>
      </c>
      <c r="D128" s="44" t="s">
        <v>163</v>
      </c>
      <c r="E128" s="43" t="s">
        <v>181</v>
      </c>
      <c r="F128" s="44" t="s">
        <v>211</v>
      </c>
      <c r="G128" s="42" t="s">
        <v>228</v>
      </c>
    </row>
    <row r="129" spans="2:7" ht="15" thickBot="1" x14ac:dyDescent="0.2">
      <c r="B129" s="42" t="s">
        <v>97</v>
      </c>
      <c r="C129" s="43" t="s">
        <v>118</v>
      </c>
      <c r="D129" s="44" t="s">
        <v>164</v>
      </c>
      <c r="E129" s="43" t="s">
        <v>182</v>
      </c>
      <c r="F129" s="96" t="s">
        <v>229</v>
      </c>
      <c r="G129" s="94" t="s">
        <v>230</v>
      </c>
    </row>
    <row r="130" spans="2:7" ht="15" thickTop="1" x14ac:dyDescent="0.15">
      <c r="B130" s="42" t="s">
        <v>98</v>
      </c>
      <c r="C130" s="43" t="s">
        <v>119</v>
      </c>
      <c r="D130" s="44" t="s">
        <v>165</v>
      </c>
      <c r="E130" s="43" t="s">
        <v>183</v>
      </c>
      <c r="F130" s="41" t="s">
        <v>231</v>
      </c>
      <c r="G130" s="39" t="s">
        <v>249</v>
      </c>
    </row>
    <row r="131" spans="2:7" x14ac:dyDescent="0.15">
      <c r="B131" s="42" t="s">
        <v>99</v>
      </c>
      <c r="C131" s="43" t="s">
        <v>120</v>
      </c>
      <c r="D131" s="44" t="s">
        <v>166</v>
      </c>
      <c r="E131" s="43" t="s">
        <v>184</v>
      </c>
      <c r="F131" s="44" t="s">
        <v>232</v>
      </c>
      <c r="G131" s="42" t="s">
        <v>250</v>
      </c>
    </row>
    <row r="132" spans="2:7" x14ac:dyDescent="0.15">
      <c r="B132" s="42" t="s">
        <v>100</v>
      </c>
      <c r="C132" s="43" t="s">
        <v>121</v>
      </c>
      <c r="D132" s="44" t="s">
        <v>167</v>
      </c>
      <c r="E132" s="43" t="s">
        <v>185</v>
      </c>
      <c r="F132" s="44" t="s">
        <v>233</v>
      </c>
      <c r="G132" s="42" t="s">
        <v>251</v>
      </c>
    </row>
    <row r="133" spans="2:7" x14ac:dyDescent="0.15">
      <c r="B133" s="42" t="s">
        <v>122</v>
      </c>
      <c r="C133" s="43" t="s">
        <v>138</v>
      </c>
      <c r="D133" s="44" t="s">
        <v>168</v>
      </c>
      <c r="E133" s="43" t="s">
        <v>186</v>
      </c>
      <c r="F133" s="44" t="s">
        <v>234</v>
      </c>
      <c r="G133" s="42" t="s">
        <v>252</v>
      </c>
    </row>
    <row r="134" spans="2:7" ht="15" thickBot="1" x14ac:dyDescent="0.2">
      <c r="B134" s="94" t="s">
        <v>123</v>
      </c>
      <c r="C134" s="95" t="s">
        <v>139</v>
      </c>
      <c r="D134" s="44" t="s">
        <v>169</v>
      </c>
      <c r="E134" s="43" t="s">
        <v>187</v>
      </c>
      <c r="F134" s="44" t="s">
        <v>235</v>
      </c>
      <c r="G134" s="42" t="s">
        <v>253</v>
      </c>
    </row>
    <row r="135" spans="2:7" ht="15.75" thickTop="1" thickBot="1" x14ac:dyDescent="0.2">
      <c r="B135" s="39" t="s">
        <v>124</v>
      </c>
      <c r="C135" s="40" t="s">
        <v>140</v>
      </c>
      <c r="D135" s="96" t="s">
        <v>170</v>
      </c>
      <c r="E135" s="95" t="s">
        <v>188</v>
      </c>
      <c r="F135" s="44" t="s">
        <v>236</v>
      </c>
      <c r="G135" s="42" t="s">
        <v>254</v>
      </c>
    </row>
    <row r="136" spans="2:7" ht="15" thickTop="1" x14ac:dyDescent="0.15">
      <c r="B136" s="42" t="s">
        <v>125</v>
      </c>
      <c r="C136" s="43" t="s">
        <v>141</v>
      </c>
      <c r="D136" s="41" t="s">
        <v>171</v>
      </c>
      <c r="E136" s="40" t="s">
        <v>189</v>
      </c>
      <c r="F136" s="44" t="s">
        <v>237</v>
      </c>
      <c r="G136" s="42" t="s">
        <v>255</v>
      </c>
    </row>
    <row r="137" spans="2:7" x14ac:dyDescent="0.15">
      <c r="B137" s="42" t="s">
        <v>126</v>
      </c>
      <c r="C137" s="43" t="s">
        <v>142</v>
      </c>
      <c r="D137" s="44" t="s">
        <v>172</v>
      </c>
      <c r="E137" s="43" t="s">
        <v>190</v>
      </c>
      <c r="F137" s="44" t="s">
        <v>238</v>
      </c>
      <c r="G137" s="42" t="s">
        <v>256</v>
      </c>
    </row>
    <row r="138" spans="2:7" x14ac:dyDescent="0.15">
      <c r="B138" s="42" t="s">
        <v>127</v>
      </c>
      <c r="C138" s="43" t="s">
        <v>143</v>
      </c>
      <c r="D138" s="44" t="s">
        <v>173</v>
      </c>
      <c r="E138" s="43" t="s">
        <v>191</v>
      </c>
      <c r="F138" s="44" t="s">
        <v>239</v>
      </c>
      <c r="G138" s="42" t="s">
        <v>257</v>
      </c>
    </row>
    <row r="139" spans="2:7" ht="15" thickBot="1" x14ac:dyDescent="0.2">
      <c r="B139" s="42" t="s">
        <v>128</v>
      </c>
      <c r="C139" s="43" t="s">
        <v>144</v>
      </c>
      <c r="D139" s="44" t="s">
        <v>192</v>
      </c>
      <c r="E139" s="43" t="s">
        <v>193</v>
      </c>
      <c r="F139" s="38" t="s">
        <v>240</v>
      </c>
      <c r="G139" s="36" t="s">
        <v>258</v>
      </c>
    </row>
    <row r="140" spans="2:7" ht="15" thickTop="1" x14ac:dyDescent="0.15"/>
  </sheetData>
  <sheetProtection algorithmName="SHA-512" hashValue="IqAYzaTPXE9eisZs+Fn5NRzsWsNgoiErHKMuuJne68sdav0cFC8cmjFyFWHrxpgFr9gqKmchRBmsOhfp7JqKsA==" saltValue="x8Mt9b7zaJUAvyiBYUpgiA==" spinCount="100000" sheet="1" objects="1" scenarios="1"/>
  <mergeCells count="23">
    <mergeCell ref="A4:D5"/>
    <mergeCell ref="I102:J103"/>
    <mergeCell ref="I100:J101"/>
    <mergeCell ref="A37:D38"/>
    <mergeCell ref="B99:D99"/>
    <mergeCell ref="B84:D84"/>
    <mergeCell ref="B86:B87"/>
    <mergeCell ref="E102:F103"/>
    <mergeCell ref="G102:H103"/>
    <mergeCell ref="C86:C87"/>
    <mergeCell ref="G100:H101"/>
    <mergeCell ref="E100:F101"/>
    <mergeCell ref="C100:D101"/>
    <mergeCell ref="C102:D103"/>
    <mergeCell ref="B102:B103"/>
    <mergeCell ref="B100:B101"/>
    <mergeCell ref="B97:F98"/>
    <mergeCell ref="H84:I84"/>
    <mergeCell ref="I86:I87"/>
    <mergeCell ref="B95:H96"/>
    <mergeCell ref="D86:F86"/>
    <mergeCell ref="G86:G87"/>
    <mergeCell ref="H86:H87"/>
  </mergeCells>
  <phoneticPr fontId="2"/>
  <dataValidations count="6">
    <dataValidation type="list" allowBlank="1" showInputMessage="1" showErrorMessage="1" sqref="C89:C93">
      <formula1>"〇"</formula1>
    </dataValidation>
    <dataValidation type="whole" allowBlank="1" showInputMessage="1" showErrorMessage="1" sqref="E88:E93">
      <formula1>1</formula1>
      <formula2>12</formula2>
    </dataValidation>
    <dataValidation type="whole" allowBlank="1" showInputMessage="1" showErrorMessage="1" sqref="F88:F93">
      <formula1>1</formula1>
      <formula2>31</formula2>
    </dataValidation>
    <dataValidation type="list" allowBlank="1" showInputMessage="1" showErrorMessage="1" sqref="C88">
      <formula1>"〇,×"</formula1>
    </dataValidation>
    <dataValidation type="whole" allowBlank="1" showInputMessage="1" showErrorMessage="1" sqref="G88:I93">
      <formula1>0</formula1>
      <formula2>10000000000</formula2>
    </dataValidation>
    <dataValidation type="whole" allowBlank="1" showInputMessage="1" showErrorMessage="1" sqref="D88:D93">
      <formula1>1900</formula1>
      <formula2>2999</formula2>
    </dataValidation>
  </dataValidations>
  <printOptions horizontalCentered="1"/>
  <pageMargins left="0.70866141732283472" right="0.70866141732283472" top="0.74803149606299213" bottom="0.74803149606299213" header="0.31496062992125984" footer="0.31496062992125984"/>
  <pageSetup paperSize="9" scale="4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9"/>
  <sheetViews>
    <sheetView zoomScale="85" zoomScaleNormal="85" workbookViewId="0">
      <selection activeCell="C13" sqref="C13"/>
    </sheetView>
  </sheetViews>
  <sheetFormatPr defaultRowHeight="13.5" x14ac:dyDescent="0.15"/>
  <cols>
    <col min="1" max="1" width="14.625" style="46" customWidth="1"/>
    <col min="2" max="2" width="12.5" style="46" customWidth="1"/>
    <col min="3" max="3" width="12.125" style="46" customWidth="1"/>
    <col min="4" max="5" width="14.5" style="46" bestFit="1" customWidth="1"/>
    <col min="6" max="6" width="15.875" style="46" customWidth="1"/>
    <col min="7" max="7" width="12.125" style="46" bestFit="1" customWidth="1"/>
    <col min="8" max="8" width="11" style="46" bestFit="1" customWidth="1"/>
    <col min="9" max="9" width="12.5" style="46" customWidth="1"/>
    <col min="10" max="10" width="11.5" style="46" customWidth="1"/>
    <col min="11" max="11" width="14.625" style="46" customWidth="1"/>
    <col min="12" max="12" width="8.625" style="46" customWidth="1"/>
    <col min="13" max="13" width="9" style="46" customWidth="1"/>
    <col min="14" max="14" width="4" style="46" bestFit="1" customWidth="1"/>
    <col min="15" max="15" width="10.125" style="46" customWidth="1"/>
    <col min="16" max="19" width="10.375" style="46" bestFit="1" customWidth="1"/>
    <col min="20" max="21" width="9.5" style="46" bestFit="1" customWidth="1"/>
    <col min="22" max="24" width="11.75" style="46" customWidth="1"/>
    <col min="25" max="25" width="12.375" style="46" bestFit="1" customWidth="1"/>
    <col min="26" max="29" width="10.875" style="46" customWidth="1"/>
    <col min="30" max="30" width="9.125" style="46" bestFit="1" customWidth="1"/>
    <col min="31" max="16384" width="9" style="46"/>
  </cols>
  <sheetData>
    <row r="1" spans="1:22" x14ac:dyDescent="0.15">
      <c r="A1" s="175" t="s">
        <v>0</v>
      </c>
      <c r="B1" s="175" t="s">
        <v>1</v>
      </c>
      <c r="C1" s="175" t="s">
        <v>2</v>
      </c>
      <c r="D1" s="158" t="s">
        <v>52</v>
      </c>
      <c r="E1" s="175" t="s">
        <v>3</v>
      </c>
      <c r="F1" s="206" t="s">
        <v>4</v>
      </c>
      <c r="H1" s="47"/>
      <c r="M1" s="176" t="s">
        <v>31</v>
      </c>
      <c r="N1" s="177"/>
      <c r="O1" s="178"/>
      <c r="P1" s="159" t="s">
        <v>30</v>
      </c>
      <c r="Q1" s="159"/>
      <c r="R1" s="159"/>
      <c r="S1" s="159"/>
      <c r="T1" s="159"/>
      <c r="U1" s="159"/>
    </row>
    <row r="2" spans="1:22" x14ac:dyDescent="0.15">
      <c r="A2" s="175"/>
      <c r="B2" s="175"/>
      <c r="C2" s="175"/>
      <c r="D2" s="158"/>
      <c r="E2" s="175"/>
      <c r="F2" s="206"/>
      <c r="H2" s="47"/>
      <c r="M2" s="179"/>
      <c r="N2" s="180"/>
      <c r="O2" s="181"/>
      <c r="P2" s="48" t="s">
        <v>11</v>
      </c>
      <c r="Q2" s="48" t="s">
        <v>12</v>
      </c>
      <c r="R2" s="48" t="s">
        <v>13</v>
      </c>
      <c r="S2" s="48" t="s">
        <v>14</v>
      </c>
      <c r="T2" s="48" t="s">
        <v>15</v>
      </c>
      <c r="U2" s="48" t="s">
        <v>16</v>
      </c>
    </row>
    <row r="3" spans="1:22" ht="14.25" thickBot="1" x14ac:dyDescent="0.2">
      <c r="A3" s="48" t="s">
        <v>11</v>
      </c>
      <c r="B3" s="49">
        <f>IF(P15&gt;=0,P15,0)</f>
        <v>0</v>
      </c>
      <c r="C3" s="49">
        <f>P76</f>
        <v>0</v>
      </c>
      <c r="D3" s="49">
        <f>入力・結果表示シート!I88</f>
        <v>0</v>
      </c>
      <c r="E3" s="49">
        <f>IF(入力・結果表示シート!C88="〇",SUM(B3:D3),0)</f>
        <v>0</v>
      </c>
      <c r="F3" s="50">
        <f>IF(E3&lt;=430000,0,E3-430000)</f>
        <v>0</v>
      </c>
      <c r="M3" s="182"/>
      <c r="N3" s="183"/>
      <c r="O3" s="184"/>
      <c r="P3" s="51">
        <f>入力・結果表示シート!G88</f>
        <v>0</v>
      </c>
      <c r="Q3" s="51">
        <f>入力・結果表示シート!G89</f>
        <v>0</v>
      </c>
      <c r="R3" s="51">
        <f>入力・結果表示シート!G90</f>
        <v>0</v>
      </c>
      <c r="S3" s="51">
        <f>入力・結果表示シート!G91</f>
        <v>0</v>
      </c>
      <c r="T3" s="51">
        <f>入力・結果表示シート!G92</f>
        <v>0</v>
      </c>
      <c r="U3" s="51">
        <f>入力・結果表示シート!G93</f>
        <v>0</v>
      </c>
      <c r="V3" s="52" t="s">
        <v>35</v>
      </c>
    </row>
    <row r="4" spans="1:22" ht="14.25" thickTop="1" x14ac:dyDescent="0.15">
      <c r="A4" s="48" t="s">
        <v>12</v>
      </c>
      <c r="B4" s="49">
        <f>IF(Q15&gt;=0,Q15,0)</f>
        <v>0</v>
      </c>
      <c r="C4" s="49">
        <f>Q76</f>
        <v>0</v>
      </c>
      <c r="D4" s="49">
        <f>入力・結果表示シート!I89</f>
        <v>0</v>
      </c>
      <c r="E4" s="49">
        <f>IF(入力・結果表示シート!C89="〇",SUM(B4:D4),0)</f>
        <v>0</v>
      </c>
      <c r="F4" s="50">
        <f t="shared" ref="F4:F8" si="0">IF(E4&lt;=430000,0,E4-430000)</f>
        <v>0</v>
      </c>
      <c r="M4" s="53"/>
      <c r="N4" s="54" t="s">
        <v>29</v>
      </c>
      <c r="O4" s="55">
        <v>550999</v>
      </c>
      <c r="P4" s="56">
        <f>IF(P3&lt;=$O$4,0,"")</f>
        <v>0</v>
      </c>
      <c r="Q4" s="56">
        <f t="shared" ref="Q4:U4" si="1">IF(Q3&lt;=$O$4,0,"")</f>
        <v>0</v>
      </c>
      <c r="R4" s="56">
        <f t="shared" si="1"/>
        <v>0</v>
      </c>
      <c r="S4" s="56">
        <f t="shared" si="1"/>
        <v>0</v>
      </c>
      <c r="T4" s="56">
        <f t="shared" si="1"/>
        <v>0</v>
      </c>
      <c r="U4" s="56">
        <f t="shared" si="1"/>
        <v>0</v>
      </c>
    </row>
    <row r="5" spans="1:22" ht="13.15" customHeight="1" x14ac:dyDescent="0.15">
      <c r="A5" s="48" t="s">
        <v>13</v>
      </c>
      <c r="B5" s="49">
        <f>IF(R15&gt;=0,R15,0)</f>
        <v>0</v>
      </c>
      <c r="C5" s="49">
        <f>R76</f>
        <v>0</v>
      </c>
      <c r="D5" s="49">
        <f>入力・結果表示シート!I90</f>
        <v>0</v>
      </c>
      <c r="E5" s="49">
        <f>IF(入力・結果表示シート!C90="〇",SUM(B5:D5),0)</f>
        <v>0</v>
      </c>
      <c r="F5" s="50">
        <f t="shared" si="0"/>
        <v>0</v>
      </c>
      <c r="M5" s="57">
        <v>551000</v>
      </c>
      <c r="N5" s="48" t="s">
        <v>29</v>
      </c>
      <c r="O5" s="57">
        <f t="shared" ref="O5:O12" si="2">M6-1</f>
        <v>1618999</v>
      </c>
      <c r="P5" s="49" t="str">
        <f>IF(AND($M$5&lt;=P3,P3&lt;=$O$5),P3-550000,"")</f>
        <v/>
      </c>
      <c r="Q5" s="49" t="str">
        <f>IF(AND($M$5&lt;=Q3,Q3&lt;=$O$5),Q3-550000,"")</f>
        <v/>
      </c>
      <c r="R5" s="49" t="str">
        <f t="shared" ref="R5:U5" si="3">IF(AND($M$5&lt;=R3,R3&lt;=$O$5),R3-550000,"")</f>
        <v/>
      </c>
      <c r="S5" s="49" t="str">
        <f t="shared" si="3"/>
        <v/>
      </c>
      <c r="T5" s="49" t="str">
        <f t="shared" si="3"/>
        <v/>
      </c>
      <c r="U5" s="49" t="str">
        <f t="shared" si="3"/>
        <v/>
      </c>
    </row>
    <row r="6" spans="1:22" x14ac:dyDescent="0.15">
      <c r="A6" s="48" t="s">
        <v>14</v>
      </c>
      <c r="B6" s="49">
        <f>IF(S15&gt;=0,S15,0)</f>
        <v>0</v>
      </c>
      <c r="C6" s="49">
        <f>S76</f>
        <v>0</v>
      </c>
      <c r="D6" s="49">
        <f>入力・結果表示シート!I91</f>
        <v>0</v>
      </c>
      <c r="E6" s="49">
        <f>IF(入力・結果表示シート!C91="〇",SUM(B6:D6),0)</f>
        <v>0</v>
      </c>
      <c r="F6" s="50">
        <f t="shared" si="0"/>
        <v>0</v>
      </c>
      <c r="M6" s="57">
        <v>1619000</v>
      </c>
      <c r="N6" s="48" t="s">
        <v>29</v>
      </c>
      <c r="O6" s="57">
        <f t="shared" si="2"/>
        <v>1619999</v>
      </c>
      <c r="P6" s="49" t="str">
        <f>IF(AND($M$6&lt;=P3,P3&lt;=$O$6),1069000,"")</f>
        <v/>
      </c>
      <c r="Q6" s="49" t="str">
        <f t="shared" ref="Q6:U6" si="4">IF(AND($M$6&lt;=Q3,Q3&lt;=$O$6),1069000,"")</f>
        <v/>
      </c>
      <c r="R6" s="49" t="str">
        <f t="shared" si="4"/>
        <v/>
      </c>
      <c r="S6" s="49" t="str">
        <f t="shared" si="4"/>
        <v/>
      </c>
      <c r="T6" s="49" t="str">
        <f t="shared" si="4"/>
        <v/>
      </c>
      <c r="U6" s="49" t="str">
        <f t="shared" si="4"/>
        <v/>
      </c>
    </row>
    <row r="7" spans="1:22" x14ac:dyDescent="0.15">
      <c r="A7" s="48" t="s">
        <v>15</v>
      </c>
      <c r="B7" s="49">
        <f>IF(T15&gt;=0,T15,0)</f>
        <v>0</v>
      </c>
      <c r="C7" s="49">
        <f>T76</f>
        <v>0</v>
      </c>
      <c r="D7" s="49">
        <f>入力・結果表示シート!I92</f>
        <v>0</v>
      </c>
      <c r="E7" s="49">
        <f>IF(入力・結果表示シート!C92="〇",SUM(B7:D7),0)</f>
        <v>0</v>
      </c>
      <c r="F7" s="50">
        <f t="shared" si="0"/>
        <v>0</v>
      </c>
      <c r="M7" s="57">
        <v>1620000</v>
      </c>
      <c r="N7" s="48" t="s">
        <v>29</v>
      </c>
      <c r="O7" s="57">
        <f t="shared" si="2"/>
        <v>1621999</v>
      </c>
      <c r="P7" s="49" t="str">
        <f>IF(AND($M$7&lt;=P3,P3&lt;=$O$7),1070000,"")</f>
        <v/>
      </c>
      <c r="Q7" s="49" t="str">
        <f t="shared" ref="Q7:U7" si="5">IF(AND($M$7&lt;=Q3,Q3&lt;=$O$7),1070000,"")</f>
        <v/>
      </c>
      <c r="R7" s="49" t="str">
        <f t="shared" si="5"/>
        <v/>
      </c>
      <c r="S7" s="49" t="str">
        <f t="shared" si="5"/>
        <v/>
      </c>
      <c r="T7" s="49" t="str">
        <f t="shared" si="5"/>
        <v/>
      </c>
      <c r="U7" s="49" t="str">
        <f t="shared" si="5"/>
        <v/>
      </c>
    </row>
    <row r="8" spans="1:22" ht="14.25" thickBot="1" x14ac:dyDescent="0.2">
      <c r="A8" s="48" t="s">
        <v>16</v>
      </c>
      <c r="B8" s="49">
        <f>IF(U15&gt;=0,U15,0)</f>
        <v>0</v>
      </c>
      <c r="C8" s="49">
        <f>U76</f>
        <v>0</v>
      </c>
      <c r="D8" s="49">
        <f>入力・結果表示シート!I93</f>
        <v>0</v>
      </c>
      <c r="E8" s="49">
        <f>IF(入力・結果表示シート!C93="〇",SUM(B8:D8),0)</f>
        <v>0</v>
      </c>
      <c r="F8" s="50">
        <f t="shared" si="0"/>
        <v>0</v>
      </c>
      <c r="M8" s="57">
        <v>1622000</v>
      </c>
      <c r="N8" s="48" t="s">
        <v>29</v>
      </c>
      <c r="O8" s="57">
        <f t="shared" si="2"/>
        <v>1623999</v>
      </c>
      <c r="P8" s="49" t="str">
        <f>IF(AND($M$8&lt;=P3,P3&lt;=$O$8),1072000,"")</f>
        <v/>
      </c>
      <c r="Q8" s="49" t="str">
        <f t="shared" ref="Q8:U8" si="6">IF(AND($M$8&lt;=Q3,Q3&lt;=$O$8),1072000,"")</f>
        <v/>
      </c>
      <c r="R8" s="49" t="str">
        <f t="shared" si="6"/>
        <v/>
      </c>
      <c r="S8" s="49" t="str">
        <f t="shared" si="6"/>
        <v/>
      </c>
      <c r="T8" s="49" t="str">
        <f t="shared" si="6"/>
        <v/>
      </c>
      <c r="U8" s="49" t="str">
        <f t="shared" si="6"/>
        <v/>
      </c>
    </row>
    <row r="9" spans="1:22" ht="14.25" thickBot="1" x14ac:dyDescent="0.2">
      <c r="A9" s="58"/>
      <c r="E9" s="59" t="s">
        <v>22</v>
      </c>
      <c r="F9" s="60">
        <f>SUM(F3:F8)</f>
        <v>0</v>
      </c>
      <c r="M9" s="57">
        <v>1624000</v>
      </c>
      <c r="N9" s="48" t="s">
        <v>29</v>
      </c>
      <c r="O9" s="57">
        <f t="shared" si="2"/>
        <v>1627999</v>
      </c>
      <c r="P9" s="49" t="str">
        <f>IF(AND($M$9&lt;=P3,P3&lt;=$O$9),1074000,"")</f>
        <v/>
      </c>
      <c r="Q9" s="49" t="str">
        <f t="shared" ref="Q9:U9" si="7">IF(AND($M$9&lt;=Q3,Q3&lt;=$O$9),1074000,"")</f>
        <v/>
      </c>
      <c r="R9" s="49" t="str">
        <f t="shared" si="7"/>
        <v/>
      </c>
      <c r="S9" s="49" t="str">
        <f t="shared" si="7"/>
        <v/>
      </c>
      <c r="T9" s="49" t="str">
        <f t="shared" si="7"/>
        <v/>
      </c>
      <c r="U9" s="49" t="str">
        <f t="shared" si="7"/>
        <v/>
      </c>
    </row>
    <row r="10" spans="1:22" ht="13.15" customHeight="1" x14ac:dyDescent="0.15">
      <c r="A10" s="58"/>
      <c r="C10" s="114">
        <v>44927</v>
      </c>
      <c r="D10" s="46" t="s">
        <v>39</v>
      </c>
      <c r="M10" s="57">
        <v>1628000</v>
      </c>
      <c r="N10" s="48" t="s">
        <v>29</v>
      </c>
      <c r="O10" s="57">
        <f t="shared" si="2"/>
        <v>1799999</v>
      </c>
      <c r="P10" s="49" t="str">
        <f>IF(AND($M$10&lt;=P3,P3&lt;=$O$10),ROUNDDOWN(P3/4,-3)*2.4+100000,"")</f>
        <v/>
      </c>
      <c r="Q10" s="49" t="str">
        <f t="shared" ref="Q10:U10" si="8">IF(AND($M$10&lt;=Q3,Q3&lt;=$O$10),ROUNDDOWN(Q3/4,-3)*2.4+100000,"")</f>
        <v/>
      </c>
      <c r="R10" s="49" t="str">
        <f t="shared" si="8"/>
        <v/>
      </c>
      <c r="S10" s="49" t="str">
        <f t="shared" si="8"/>
        <v/>
      </c>
      <c r="T10" s="49" t="str">
        <f t="shared" si="8"/>
        <v/>
      </c>
      <c r="U10" s="49" t="str">
        <f t="shared" si="8"/>
        <v/>
      </c>
    </row>
    <row r="11" spans="1:22" ht="13.5" customHeight="1" x14ac:dyDescent="0.15">
      <c r="A11" s="156" t="s">
        <v>0</v>
      </c>
      <c r="B11" s="156" t="s">
        <v>43</v>
      </c>
      <c r="C11" s="158" t="s">
        <v>46</v>
      </c>
      <c r="D11" s="153" t="s">
        <v>17</v>
      </c>
      <c r="E11" s="153" t="s">
        <v>18</v>
      </c>
      <c r="H11" s="61"/>
      <c r="M11" s="57">
        <v>1800000</v>
      </c>
      <c r="N11" s="48" t="s">
        <v>29</v>
      </c>
      <c r="O11" s="57">
        <f t="shared" si="2"/>
        <v>3599999</v>
      </c>
      <c r="P11" s="49" t="str">
        <f>IF(AND($M$11&lt;=P3,P3&lt;=$O$11),ROUNDDOWN(P3/4,-3)*2.8-80000,"")</f>
        <v/>
      </c>
      <c r="Q11" s="49" t="str">
        <f t="shared" ref="Q11:U11" si="9">IF(AND($M$11&lt;=Q3,Q3&lt;=$O$11),ROUNDDOWN(Q3/4,-3)*2.8-80000,"")</f>
        <v/>
      </c>
      <c r="R11" s="49" t="str">
        <f t="shared" si="9"/>
        <v/>
      </c>
      <c r="S11" s="49" t="str">
        <f t="shared" si="9"/>
        <v/>
      </c>
      <c r="T11" s="49" t="str">
        <f t="shared" si="9"/>
        <v/>
      </c>
      <c r="U11" s="49" t="str">
        <f t="shared" si="9"/>
        <v/>
      </c>
    </row>
    <row r="12" spans="1:22" x14ac:dyDescent="0.15">
      <c r="A12" s="157"/>
      <c r="B12" s="157"/>
      <c r="C12" s="158"/>
      <c r="D12" s="155"/>
      <c r="E12" s="155"/>
      <c r="H12" s="61"/>
      <c r="M12" s="57">
        <v>3600000</v>
      </c>
      <c r="N12" s="48" t="s">
        <v>29</v>
      </c>
      <c r="O12" s="57">
        <f t="shared" si="2"/>
        <v>6599999</v>
      </c>
      <c r="P12" s="49" t="str">
        <f t="shared" ref="P12:U12" si="10">IF(AND($M$12&lt;=P3,P3&lt;=$O$12),ROUNDDOWN(P3/4,-3)*3.2-440000,"")</f>
        <v/>
      </c>
      <c r="Q12" s="49" t="str">
        <f t="shared" si="10"/>
        <v/>
      </c>
      <c r="R12" s="49" t="str">
        <f t="shared" si="10"/>
        <v/>
      </c>
      <c r="S12" s="49" t="str">
        <f t="shared" si="10"/>
        <v/>
      </c>
      <c r="T12" s="49" t="str">
        <f t="shared" si="10"/>
        <v/>
      </c>
      <c r="U12" s="49" t="str">
        <f t="shared" si="10"/>
        <v/>
      </c>
    </row>
    <row r="13" spans="1:22" x14ac:dyDescent="0.15">
      <c r="A13" s="48" t="s">
        <v>11</v>
      </c>
      <c r="B13" s="62" t="str">
        <f>IF(入力・結果表示シート!D88="","",TEXT(DATE(入力・結果表示シート!D88,入力・結果表示シート!E88,入力・結果表示シート!F88),"yyyy/m/d"))</f>
        <v/>
      </c>
      <c r="C13" s="63" t="str">
        <f>IFERROR(DATEDIF(B13,C$10,"y"),"")</f>
        <v/>
      </c>
      <c r="D13" s="63">
        <f t="shared" ref="D13:D18" si="11">IF(C13&gt;=65,IF(C3&gt;150000,C3-150000,C3-C3),C3)</f>
        <v>0</v>
      </c>
      <c r="E13" s="64">
        <f>B3+D13+D3</f>
        <v>0</v>
      </c>
      <c r="F13" s="46" t="str">
        <f>IF(AND(C13&gt;39,C13&lt;65,入力・結果表示シート!C88="〇"),"介","")</f>
        <v/>
      </c>
      <c r="H13" s="65"/>
      <c r="M13" s="57">
        <v>6600000</v>
      </c>
      <c r="N13" s="48" t="s">
        <v>29</v>
      </c>
      <c r="O13" s="57">
        <v>8499999</v>
      </c>
      <c r="P13" s="49" t="str">
        <f t="shared" ref="P13:U13" si="12">IF(AND($M$13&lt;=P3,P3&lt;=$O$13),ROUNDDOWN(P3*0.9-1100000,0),"")</f>
        <v/>
      </c>
      <c r="Q13" s="49" t="str">
        <f t="shared" si="12"/>
        <v/>
      </c>
      <c r="R13" s="49" t="str">
        <f t="shared" si="12"/>
        <v/>
      </c>
      <c r="S13" s="49" t="str">
        <f t="shared" si="12"/>
        <v/>
      </c>
      <c r="T13" s="49" t="str">
        <f t="shared" si="12"/>
        <v/>
      </c>
      <c r="U13" s="49" t="str">
        <f t="shared" si="12"/>
        <v/>
      </c>
    </row>
    <row r="14" spans="1:22" x14ac:dyDescent="0.15">
      <c r="A14" s="48" t="s">
        <v>12</v>
      </c>
      <c r="B14" s="62" t="str">
        <f>IF(入力・結果表示シート!D89="","",TEXT(DATE(入力・結果表示シート!D89,入力・結果表示シート!E89,入力・結果表示シート!F89),"yyyy/m/d"))</f>
        <v/>
      </c>
      <c r="C14" s="63" t="str">
        <f t="shared" ref="C14:C18" si="13">IFERROR(DATEDIF(B14,C$10,"y"),"")</f>
        <v/>
      </c>
      <c r="D14" s="63">
        <f t="shared" si="11"/>
        <v>0</v>
      </c>
      <c r="E14" s="64">
        <f t="shared" ref="E14:E18" si="14">B4+D14+D4</f>
        <v>0</v>
      </c>
      <c r="F14" s="46" t="str">
        <f>IF(AND(C14&gt;39,C14&lt;65,入力・結果表示シート!C89="〇"),"介","")</f>
        <v/>
      </c>
      <c r="H14" s="65"/>
      <c r="M14" s="57">
        <v>8500000</v>
      </c>
      <c r="N14" s="48" t="s">
        <v>29</v>
      </c>
      <c r="O14" s="63"/>
      <c r="P14" s="49" t="str">
        <f t="shared" ref="P14:U14" si="15">IF(AND($M$14&lt;=P3),P3-1950000,"")</f>
        <v/>
      </c>
      <c r="Q14" s="49" t="str">
        <f t="shared" si="15"/>
        <v/>
      </c>
      <c r="R14" s="49" t="str">
        <f t="shared" si="15"/>
        <v/>
      </c>
      <c r="S14" s="49" t="str">
        <f t="shared" si="15"/>
        <v/>
      </c>
      <c r="T14" s="49" t="str">
        <f t="shared" si="15"/>
        <v/>
      </c>
      <c r="U14" s="49" t="str">
        <f t="shared" si="15"/>
        <v/>
      </c>
    </row>
    <row r="15" spans="1:22" x14ac:dyDescent="0.15">
      <c r="A15" s="48" t="s">
        <v>13</v>
      </c>
      <c r="B15" s="62" t="str">
        <f>IF(入力・結果表示シート!D90="","",TEXT(DATE(入力・結果表示シート!D90,入力・結果表示シート!E90,入力・結果表示シート!F90),"yyyy/m/d"))</f>
        <v/>
      </c>
      <c r="C15" s="63" t="str">
        <f t="shared" si="13"/>
        <v/>
      </c>
      <c r="D15" s="63">
        <f t="shared" si="11"/>
        <v>0</v>
      </c>
      <c r="E15" s="64">
        <f t="shared" si="14"/>
        <v>0</v>
      </c>
      <c r="F15" s="46" t="str">
        <f>IF(AND(C15&gt;39,C15&lt;65,入力・結果表示シート!C90="〇"),"介","")</f>
        <v/>
      </c>
      <c r="H15" s="65"/>
      <c r="O15" s="66" t="s">
        <v>32</v>
      </c>
      <c r="P15" s="49">
        <f>SUM(P4:P14)</f>
        <v>0</v>
      </c>
      <c r="Q15" s="49">
        <f>SUM(Q4:Q14)</f>
        <v>0</v>
      </c>
      <c r="R15" s="49">
        <f t="shared" ref="R15:U15" si="16">SUM(R4:R14)</f>
        <v>0</v>
      </c>
      <c r="S15" s="49">
        <f t="shared" si="16"/>
        <v>0</v>
      </c>
      <c r="T15" s="49">
        <f t="shared" si="16"/>
        <v>0</v>
      </c>
      <c r="U15" s="49">
        <f t="shared" si="16"/>
        <v>0</v>
      </c>
    </row>
    <row r="16" spans="1:22" x14ac:dyDescent="0.15">
      <c r="A16" s="48" t="s">
        <v>14</v>
      </c>
      <c r="B16" s="62" t="str">
        <f>IF(入力・結果表示シート!D91="","",TEXT(DATE(入力・結果表示シート!D91,入力・結果表示シート!E91,入力・結果表示シート!F91),"yyyy/m/d"))</f>
        <v/>
      </c>
      <c r="C16" s="63" t="str">
        <f t="shared" si="13"/>
        <v/>
      </c>
      <c r="D16" s="63">
        <f t="shared" si="11"/>
        <v>0</v>
      </c>
      <c r="E16" s="64">
        <f t="shared" si="14"/>
        <v>0</v>
      </c>
      <c r="F16" s="46" t="str">
        <f>IF(AND(C16&gt;39,C16&lt;65,入力・結果表示シート!C91="〇"),"介","")</f>
        <v/>
      </c>
      <c r="H16" s="65"/>
    </row>
    <row r="17" spans="1:31" x14ac:dyDescent="0.15">
      <c r="A17" s="48" t="s">
        <v>15</v>
      </c>
      <c r="B17" s="62" t="str">
        <f>IF(入力・結果表示シート!D92="","",TEXT(DATE(入力・結果表示シート!D92,入力・結果表示シート!E92,入力・結果表示シート!F92),"yyyy/m/d"))</f>
        <v/>
      </c>
      <c r="C17" s="63" t="str">
        <f t="shared" si="13"/>
        <v/>
      </c>
      <c r="D17" s="63">
        <f t="shared" si="11"/>
        <v>0</v>
      </c>
      <c r="E17" s="64">
        <f t="shared" si="14"/>
        <v>0</v>
      </c>
      <c r="F17" s="46" t="str">
        <f>IF(AND(C17&gt;39,C17&lt;65,入力・結果表示シート!C92="〇"),"介","")</f>
        <v/>
      </c>
      <c r="H17" s="65"/>
    </row>
    <row r="18" spans="1:31" ht="14.25" thickBot="1" x14ac:dyDescent="0.2">
      <c r="A18" s="48" t="s">
        <v>16</v>
      </c>
      <c r="B18" s="62" t="str">
        <f>IF(入力・結果表示シート!D93="","",TEXT(DATE(入力・結果表示シート!D93,入力・結果表示シート!E93,入力・結果表示シート!F93),"yyyy/m/d"))</f>
        <v/>
      </c>
      <c r="C18" s="63" t="str">
        <f t="shared" si="13"/>
        <v/>
      </c>
      <c r="D18" s="63">
        <f t="shared" si="11"/>
        <v>0</v>
      </c>
      <c r="E18" s="64">
        <f t="shared" si="14"/>
        <v>0</v>
      </c>
      <c r="F18" s="46" t="str">
        <f>IF(AND(C18&gt;39,C18&lt;65,入力・結果表示シート!C93="〇"),"介","")</f>
        <v/>
      </c>
      <c r="H18" s="65"/>
      <c r="K18" s="67"/>
      <c r="L18" s="67"/>
      <c r="M18" s="67"/>
      <c r="N18" s="67"/>
      <c r="O18" s="67"/>
      <c r="P18" s="67"/>
      <c r="Q18" s="67"/>
      <c r="R18" s="67"/>
      <c r="S18" s="67"/>
      <c r="T18" s="67"/>
      <c r="U18" s="67"/>
      <c r="V18" s="67"/>
      <c r="W18" s="67"/>
      <c r="X18" s="67"/>
      <c r="Y18" s="67"/>
      <c r="Z18" s="67"/>
      <c r="AA18" s="67"/>
      <c r="AB18" s="67"/>
      <c r="AC18" s="67"/>
      <c r="AD18" s="67"/>
      <c r="AE18" s="67"/>
    </row>
    <row r="19" spans="1:31" ht="14.25" customHeight="1" thickBot="1" x14ac:dyDescent="0.2">
      <c r="D19" s="59" t="s">
        <v>23</v>
      </c>
      <c r="E19" s="68">
        <f>SUM(E13:E18)</f>
        <v>0</v>
      </c>
      <c r="K19" s="67"/>
      <c r="L19" s="67"/>
      <c r="M19" s="67"/>
      <c r="N19" s="67"/>
      <c r="O19" s="67"/>
      <c r="P19" s="67"/>
      <c r="Q19" s="67"/>
      <c r="R19" s="67"/>
      <c r="S19" s="67"/>
      <c r="T19" s="67"/>
      <c r="U19" s="67"/>
      <c r="V19" s="67"/>
      <c r="W19" s="67"/>
      <c r="X19" s="67"/>
      <c r="Y19" s="67"/>
      <c r="Z19" s="67"/>
      <c r="AA19" s="67"/>
      <c r="AB19" s="67"/>
      <c r="AC19" s="67"/>
      <c r="AD19" s="67"/>
      <c r="AE19" s="67"/>
    </row>
    <row r="20" spans="1:31" ht="14.25" customHeight="1" x14ac:dyDescent="0.15">
      <c r="C20" s="59"/>
      <c r="D20" s="65"/>
      <c r="K20" s="67"/>
      <c r="L20" s="165" t="s">
        <v>55</v>
      </c>
      <c r="M20" s="166"/>
      <c r="N20" s="166"/>
      <c r="O20" s="167"/>
      <c r="P20" s="159" t="s">
        <v>41</v>
      </c>
      <c r="Q20" s="159"/>
      <c r="R20" s="159"/>
      <c r="S20" s="159"/>
      <c r="T20" s="159"/>
      <c r="U20" s="159"/>
      <c r="W20" s="67"/>
      <c r="X20" s="67"/>
      <c r="Y20" s="67"/>
      <c r="Z20" s="67"/>
      <c r="AA20" s="67"/>
      <c r="AB20" s="67"/>
      <c r="AC20" s="67"/>
      <c r="AD20" s="67"/>
      <c r="AE20" s="67"/>
    </row>
    <row r="21" spans="1:31" x14ac:dyDescent="0.15">
      <c r="A21" s="159"/>
      <c r="B21" s="175" t="s">
        <v>20</v>
      </c>
      <c r="C21" s="174" t="s">
        <v>53</v>
      </c>
      <c r="D21" s="175" t="s">
        <v>21</v>
      </c>
      <c r="K21" s="67"/>
      <c r="L21" s="168"/>
      <c r="M21" s="169"/>
      <c r="N21" s="169"/>
      <c r="O21" s="170"/>
      <c r="P21" s="48" t="s">
        <v>11</v>
      </c>
      <c r="Q21" s="48" t="s">
        <v>12</v>
      </c>
      <c r="R21" s="48" t="s">
        <v>13</v>
      </c>
      <c r="S21" s="48" t="s">
        <v>14</v>
      </c>
      <c r="T21" s="48" t="s">
        <v>15</v>
      </c>
      <c r="U21" s="48" t="s">
        <v>16</v>
      </c>
      <c r="W21" s="67"/>
      <c r="X21" s="67"/>
      <c r="Y21" s="67"/>
      <c r="Z21" s="67"/>
      <c r="AA21" s="67"/>
      <c r="AB21" s="67"/>
      <c r="AC21" s="67"/>
      <c r="AD21" s="67"/>
      <c r="AE21" s="67"/>
    </row>
    <row r="22" spans="1:31" ht="14.25" customHeight="1" x14ac:dyDescent="0.15">
      <c r="A22" s="159"/>
      <c r="B22" s="175"/>
      <c r="C22" s="174"/>
      <c r="D22" s="175"/>
      <c r="K22" s="67"/>
      <c r="L22" s="168"/>
      <c r="M22" s="169"/>
      <c r="N22" s="169"/>
      <c r="O22" s="170"/>
      <c r="P22" s="63" t="str">
        <f>C13</f>
        <v/>
      </c>
      <c r="Q22" s="63" t="str">
        <f>C14</f>
        <v/>
      </c>
      <c r="R22" s="63" t="str">
        <f>C15</f>
        <v/>
      </c>
      <c r="S22" s="63" t="str">
        <f>C16</f>
        <v/>
      </c>
      <c r="T22" s="63" t="str">
        <f>C17</f>
        <v/>
      </c>
      <c r="U22" s="63" t="str">
        <f>C18</f>
        <v/>
      </c>
      <c r="V22" s="52" t="s">
        <v>36</v>
      </c>
      <c r="W22" s="67"/>
      <c r="X22" s="67"/>
      <c r="Y22" s="67"/>
      <c r="Z22" s="67"/>
      <c r="AA22" s="67"/>
      <c r="AB22" s="67"/>
      <c r="AC22" s="67"/>
      <c r="AD22" s="67"/>
      <c r="AE22" s="67"/>
    </row>
    <row r="23" spans="1:31" ht="13.15" customHeight="1" thickBot="1" x14ac:dyDescent="0.2">
      <c r="A23" s="63" t="s">
        <v>26</v>
      </c>
      <c r="B23" s="156">
        <f>COUNTIF(入力・結果表示シート!C88:C93,"〇")</f>
        <v>0</v>
      </c>
      <c r="C23" s="191">
        <f>(COUNTIF($B$3:$B$8,"&gt;0")+COUNTIF($C$3:$C$8,"&gt;0")-(IF(AND($B$3&gt;0,$C$3&gt;0),1,0)+IF(AND($B$4&gt;0,$C$4&gt;0),1,0)+IF(AND($B$5&gt;0,$C$5&gt;0),1,0)+IF(AND($B$6&gt;0,$C$6&gt;0),1,0)+IF(AND($B$7&gt;0,$C$7&gt;0),1,0)+IF(AND($B$8&gt;0,$C$8&gt;0),1,0)))</f>
        <v>0</v>
      </c>
      <c r="D23" s="113">
        <f>$D$25+535000*$B$23</f>
        <v>430000</v>
      </c>
      <c r="E23" s="52">
        <f>IF($E$19&lt;=D23,2,"")</f>
        <v>2</v>
      </c>
      <c r="I23" s="69"/>
      <c r="J23" s="69"/>
      <c r="K23" s="67"/>
      <c r="L23" s="171"/>
      <c r="M23" s="172"/>
      <c r="N23" s="172"/>
      <c r="O23" s="173"/>
      <c r="P23" s="51">
        <f>入力・結果表示シート!H88</f>
        <v>0</v>
      </c>
      <c r="Q23" s="51">
        <f>入力・結果表示シート!H89</f>
        <v>0</v>
      </c>
      <c r="R23" s="51">
        <f>入力・結果表示シート!H90</f>
        <v>0</v>
      </c>
      <c r="S23" s="51">
        <f>入力・結果表示シート!H91</f>
        <v>0</v>
      </c>
      <c r="T23" s="51">
        <f>入力・結果表示シート!H92</f>
        <v>0</v>
      </c>
      <c r="U23" s="51">
        <f>入力・結果表示シート!H93</f>
        <v>0</v>
      </c>
      <c r="V23" s="52" t="s">
        <v>37</v>
      </c>
      <c r="W23" s="67"/>
      <c r="X23" s="67"/>
      <c r="Y23" s="67"/>
      <c r="Z23" s="67"/>
      <c r="AA23" s="67"/>
      <c r="AB23" s="67"/>
      <c r="AC23" s="67"/>
      <c r="AD23" s="67"/>
      <c r="AE23" s="67"/>
    </row>
    <row r="24" spans="1:31" ht="14.25" customHeight="1" thickTop="1" thickBot="1" x14ac:dyDescent="0.2">
      <c r="A24" s="63" t="s">
        <v>25</v>
      </c>
      <c r="B24" s="192"/>
      <c r="C24" s="192"/>
      <c r="D24" s="113">
        <f>$D$25+290000*$B$23</f>
        <v>430000</v>
      </c>
      <c r="E24" s="52">
        <f>IF($E$19&lt;=D24,5,"")</f>
        <v>5</v>
      </c>
      <c r="K24" s="67"/>
      <c r="L24" s="153" t="s">
        <v>33</v>
      </c>
      <c r="M24" s="57"/>
      <c r="N24" s="48" t="s">
        <v>40</v>
      </c>
      <c r="O24" s="57">
        <f>M25-1</f>
        <v>1300000</v>
      </c>
      <c r="P24" s="49" t="str">
        <f t="shared" ref="P24:U24" si="17">IF(AND(P22&lt;65,P23&lt;=$O$24),600000,"")</f>
        <v/>
      </c>
      <c r="Q24" s="49" t="str">
        <f t="shared" si="17"/>
        <v/>
      </c>
      <c r="R24" s="49" t="str">
        <f t="shared" si="17"/>
        <v/>
      </c>
      <c r="S24" s="49" t="str">
        <f t="shared" si="17"/>
        <v/>
      </c>
      <c r="T24" s="49" t="str">
        <f t="shared" si="17"/>
        <v/>
      </c>
      <c r="U24" s="49" t="str">
        <f t="shared" si="17"/>
        <v/>
      </c>
      <c r="W24" s="67"/>
      <c r="X24" s="67"/>
      <c r="Y24" s="67"/>
      <c r="Z24" s="67"/>
      <c r="AA24" s="67"/>
      <c r="AB24" s="67"/>
      <c r="AC24" s="67"/>
      <c r="AD24" s="67"/>
      <c r="AE24" s="67"/>
    </row>
    <row r="25" spans="1:31" ht="14.25" thickBot="1" x14ac:dyDescent="0.2">
      <c r="A25" s="63" t="s">
        <v>24</v>
      </c>
      <c r="B25" s="157"/>
      <c r="C25" s="157"/>
      <c r="D25" s="49">
        <f>430000+100000*(IF(C23-1&lt;0,0,C23-1))</f>
        <v>430000</v>
      </c>
      <c r="E25" s="52">
        <f>IF($E$19&lt;=D25,7,"")</f>
        <v>7</v>
      </c>
      <c r="F25" s="58" t="s">
        <v>28</v>
      </c>
      <c r="G25" s="70">
        <f>MAX(E23:E25)</f>
        <v>7</v>
      </c>
      <c r="H25" s="71" t="s">
        <v>27</v>
      </c>
      <c r="K25" s="67"/>
      <c r="L25" s="154"/>
      <c r="M25" s="57">
        <v>1300001</v>
      </c>
      <c r="N25" s="48" t="s">
        <v>40</v>
      </c>
      <c r="O25" s="57">
        <f t="shared" ref="O25:O27" si="18">M26-1</f>
        <v>4100000</v>
      </c>
      <c r="P25" s="49" t="str">
        <f>IF(AND(P22&lt;65,$M$25&lt;=P23,P23&lt;=$O$25),ROUNDDOWN(P23*0.25+275000,0),"")</f>
        <v/>
      </c>
      <c r="Q25" s="49" t="str">
        <f t="shared" ref="Q25:U25" si="19">IF(AND(Q22&lt;65,$M$25&lt;=Q23,Q23&lt;=$O$25),ROUNDDOWN(Q23*0.25+275000,0),"")</f>
        <v/>
      </c>
      <c r="R25" s="49" t="str">
        <f t="shared" si="19"/>
        <v/>
      </c>
      <c r="S25" s="49" t="str">
        <f t="shared" si="19"/>
        <v/>
      </c>
      <c r="T25" s="49" t="str">
        <f t="shared" si="19"/>
        <v/>
      </c>
      <c r="U25" s="49" t="str">
        <f t="shared" si="19"/>
        <v/>
      </c>
      <c r="W25" s="67"/>
      <c r="X25" s="67"/>
      <c r="Y25" s="67"/>
      <c r="Z25" s="67"/>
      <c r="AA25" s="67"/>
      <c r="AB25" s="67"/>
      <c r="AC25" s="67"/>
      <c r="AD25" s="67"/>
      <c r="AE25" s="67"/>
    </row>
    <row r="26" spans="1:31" x14ac:dyDescent="0.15">
      <c r="K26" s="67"/>
      <c r="L26" s="154"/>
      <c r="M26" s="57">
        <v>4100001</v>
      </c>
      <c r="N26" s="48" t="s">
        <v>40</v>
      </c>
      <c r="O26" s="57">
        <f t="shared" si="18"/>
        <v>7700000</v>
      </c>
      <c r="P26" s="49" t="str">
        <f t="shared" ref="P26:U26" si="20">IF(AND(P22&lt;65,$M$26&lt;=P23,P23&lt;=$O$26),ROUNDDOWN(P23*0.15+685000,0),"")</f>
        <v/>
      </c>
      <c r="Q26" s="49" t="str">
        <f t="shared" si="20"/>
        <v/>
      </c>
      <c r="R26" s="49" t="str">
        <f t="shared" si="20"/>
        <v/>
      </c>
      <c r="S26" s="49" t="str">
        <f t="shared" si="20"/>
        <v/>
      </c>
      <c r="T26" s="49" t="str">
        <f t="shared" si="20"/>
        <v/>
      </c>
      <c r="U26" s="49" t="str">
        <f t="shared" si="20"/>
        <v/>
      </c>
      <c r="W26" s="67"/>
      <c r="X26" s="67"/>
      <c r="Y26" s="67"/>
      <c r="Z26" s="67"/>
      <c r="AA26" s="67"/>
      <c r="AB26" s="67"/>
      <c r="AC26" s="67"/>
      <c r="AD26" s="67"/>
      <c r="AE26" s="67"/>
    </row>
    <row r="27" spans="1:31" ht="13.5" customHeight="1" x14ac:dyDescent="0.15">
      <c r="A27" s="72"/>
      <c r="B27" s="72"/>
      <c r="C27" s="72"/>
      <c r="D27" s="72"/>
      <c r="E27" s="72"/>
      <c r="F27" s="72"/>
      <c r="K27" s="67"/>
      <c r="L27" s="154"/>
      <c r="M27" s="57">
        <v>7700001</v>
      </c>
      <c r="N27" s="48" t="s">
        <v>40</v>
      </c>
      <c r="O27" s="57">
        <f t="shared" si="18"/>
        <v>10000000</v>
      </c>
      <c r="P27" s="49" t="str">
        <f t="shared" ref="P27:U27" si="21">IF(AND(P22&lt;65,$M$27&lt;=P23,P23&lt;=$O$27),ROUNDDOWN(P23*0.05+1455000,0),"")</f>
        <v/>
      </c>
      <c r="Q27" s="49" t="str">
        <f t="shared" si="21"/>
        <v/>
      </c>
      <c r="R27" s="49" t="str">
        <f t="shared" si="21"/>
        <v/>
      </c>
      <c r="S27" s="49" t="str">
        <f t="shared" si="21"/>
        <v/>
      </c>
      <c r="T27" s="49" t="str">
        <f t="shared" si="21"/>
        <v/>
      </c>
      <c r="U27" s="49" t="str">
        <f t="shared" si="21"/>
        <v/>
      </c>
      <c r="W27" s="67"/>
      <c r="X27" s="67"/>
      <c r="Y27" s="67"/>
      <c r="Z27" s="67"/>
      <c r="AA27" s="67"/>
      <c r="AB27" s="67"/>
      <c r="AC27" s="67"/>
      <c r="AD27" s="67"/>
      <c r="AE27" s="67"/>
    </row>
    <row r="28" spans="1:31" ht="12.75" customHeight="1" x14ac:dyDescent="0.15">
      <c r="A28" s="73" t="s">
        <v>73</v>
      </c>
      <c r="B28" s="72"/>
      <c r="C28" s="72"/>
      <c r="D28" s="73"/>
      <c r="E28" s="73"/>
      <c r="F28" s="73"/>
      <c r="G28" s="74"/>
      <c r="H28" s="75"/>
      <c r="I28" s="65"/>
      <c r="K28" s="67"/>
      <c r="L28" s="155"/>
      <c r="M28" s="76">
        <v>10000001</v>
      </c>
      <c r="N28" s="63"/>
      <c r="O28" s="63"/>
      <c r="P28" s="49" t="str">
        <f t="shared" ref="P28:U28" si="22">IF(AND(P22&lt;65,$M$28&lt;=P23),1955000,"")</f>
        <v/>
      </c>
      <c r="Q28" s="49" t="str">
        <f t="shared" si="22"/>
        <v/>
      </c>
      <c r="R28" s="49" t="str">
        <f t="shared" si="22"/>
        <v/>
      </c>
      <c r="S28" s="49" t="str">
        <f t="shared" si="22"/>
        <v/>
      </c>
      <c r="T28" s="49" t="str">
        <f t="shared" si="22"/>
        <v/>
      </c>
      <c r="U28" s="49" t="str">
        <f t="shared" si="22"/>
        <v/>
      </c>
      <c r="W28" s="67"/>
      <c r="X28" s="67"/>
      <c r="Y28" s="67"/>
      <c r="Z28" s="67"/>
      <c r="AA28" s="67"/>
      <c r="AB28" s="67"/>
      <c r="AC28" s="67"/>
      <c r="AD28" s="67"/>
      <c r="AE28" s="67"/>
    </row>
    <row r="29" spans="1:31" ht="13.15" customHeight="1" x14ac:dyDescent="0.15">
      <c r="A29" s="193" t="s">
        <v>0</v>
      </c>
      <c r="B29" s="193" t="s">
        <v>43</v>
      </c>
      <c r="C29" s="195" t="s">
        <v>74</v>
      </c>
      <c r="D29" s="195" t="s">
        <v>75</v>
      </c>
      <c r="E29" s="210" t="s">
        <v>76</v>
      </c>
      <c r="F29" s="72"/>
      <c r="K29" s="67"/>
      <c r="L29" s="153" t="s">
        <v>34</v>
      </c>
      <c r="M29" s="57"/>
      <c r="N29" s="48" t="s">
        <v>40</v>
      </c>
      <c r="O29" s="57">
        <f>M30-1</f>
        <v>3300000</v>
      </c>
      <c r="P29" s="49">
        <f t="shared" ref="P29:U29" si="23">IF(AND(65&lt;=P22,P23&lt;=$O$29),1100000,"")</f>
        <v>1100000</v>
      </c>
      <c r="Q29" s="49">
        <f t="shared" si="23"/>
        <v>1100000</v>
      </c>
      <c r="R29" s="49">
        <f t="shared" si="23"/>
        <v>1100000</v>
      </c>
      <c r="S29" s="49">
        <f t="shared" si="23"/>
        <v>1100000</v>
      </c>
      <c r="T29" s="49">
        <f t="shared" si="23"/>
        <v>1100000</v>
      </c>
      <c r="U29" s="49">
        <f t="shared" si="23"/>
        <v>1100000</v>
      </c>
      <c r="W29" s="67"/>
      <c r="X29" s="67"/>
      <c r="Y29" s="67"/>
      <c r="Z29" s="67"/>
      <c r="AA29" s="67"/>
      <c r="AB29" s="67"/>
      <c r="AC29" s="67"/>
      <c r="AD29" s="67"/>
      <c r="AE29" s="67"/>
    </row>
    <row r="30" spans="1:31" x14ac:dyDescent="0.15">
      <c r="A30" s="194"/>
      <c r="B30" s="194"/>
      <c r="C30" s="194"/>
      <c r="D30" s="194"/>
      <c r="E30" s="211"/>
      <c r="F30" s="72"/>
      <c r="K30" s="67"/>
      <c r="L30" s="154"/>
      <c r="M30" s="57">
        <v>3300001</v>
      </c>
      <c r="N30" s="48" t="s">
        <v>40</v>
      </c>
      <c r="O30" s="57">
        <f>M31-1</f>
        <v>4100000</v>
      </c>
      <c r="P30" s="49" t="str">
        <f t="shared" ref="P30:U30" si="24">IF(AND(P22&gt;=65,$M$30&lt;=P23,P23&lt;=$O$30),ROUNDDOWN(P23*0.25+275000,0),"")</f>
        <v/>
      </c>
      <c r="Q30" s="49" t="str">
        <f t="shared" si="24"/>
        <v/>
      </c>
      <c r="R30" s="49" t="str">
        <f t="shared" si="24"/>
        <v/>
      </c>
      <c r="S30" s="49" t="str">
        <f t="shared" si="24"/>
        <v/>
      </c>
      <c r="T30" s="49" t="str">
        <f t="shared" si="24"/>
        <v/>
      </c>
      <c r="U30" s="49" t="str">
        <f t="shared" si="24"/>
        <v/>
      </c>
      <c r="W30" s="67"/>
      <c r="X30" s="67"/>
      <c r="Y30" s="67"/>
      <c r="Z30" s="67"/>
      <c r="AA30" s="67"/>
      <c r="AB30" s="67"/>
      <c r="AC30" s="67"/>
      <c r="AD30" s="67"/>
      <c r="AE30" s="67"/>
    </row>
    <row r="31" spans="1:31" x14ac:dyDescent="0.15">
      <c r="A31" s="77" t="s">
        <v>11</v>
      </c>
      <c r="B31" s="78" t="str">
        <f>B13</f>
        <v/>
      </c>
      <c r="C31" s="196">
        <v>45382</v>
      </c>
      <c r="D31" s="78">
        <f>IF(入力・結果表示シート!C88="〇",DATEDIF(B31,$C$31,"y"),0)</f>
        <v>0</v>
      </c>
      <c r="E31" s="79">
        <f>IF(AND(入力・結果表示シート!C88="〇",D31&lt;7),(10-G25)/2,0)</f>
        <v>0</v>
      </c>
      <c r="F31" s="72"/>
      <c r="K31" s="67"/>
      <c r="L31" s="154"/>
      <c r="M31" s="57">
        <v>4100001</v>
      </c>
      <c r="N31" s="48" t="s">
        <v>40</v>
      </c>
      <c r="O31" s="57">
        <f>M32-1</f>
        <v>7700000</v>
      </c>
      <c r="P31" s="49" t="str">
        <f t="shared" ref="P31:U31" si="25">IF(AND(P22&gt;=65,$M$31&lt;=P23,P23&lt;=$O$31),ROUNDDOWN(P23*0.15+685000,0),"")</f>
        <v/>
      </c>
      <c r="Q31" s="49" t="str">
        <f t="shared" si="25"/>
        <v/>
      </c>
      <c r="R31" s="49" t="str">
        <f t="shared" si="25"/>
        <v/>
      </c>
      <c r="S31" s="49" t="str">
        <f t="shared" si="25"/>
        <v/>
      </c>
      <c r="T31" s="49" t="str">
        <f t="shared" si="25"/>
        <v/>
      </c>
      <c r="U31" s="49" t="str">
        <f t="shared" si="25"/>
        <v/>
      </c>
      <c r="W31" s="67"/>
      <c r="X31" s="67"/>
      <c r="Y31" s="67"/>
      <c r="Z31" s="67"/>
      <c r="AA31" s="67"/>
      <c r="AB31" s="67"/>
      <c r="AC31" s="67"/>
      <c r="AD31" s="67"/>
      <c r="AE31" s="67"/>
    </row>
    <row r="32" spans="1:31" x14ac:dyDescent="0.15">
      <c r="A32" s="77" t="s">
        <v>12</v>
      </c>
      <c r="B32" s="78" t="str">
        <f t="shared" ref="B32:B36" si="26">B14</f>
        <v/>
      </c>
      <c r="C32" s="197"/>
      <c r="D32" s="78">
        <f>IF(入力・結果表示シート!C89="〇",DATEDIF(B32,$C$31,"y"),0)</f>
        <v>0</v>
      </c>
      <c r="E32" s="79">
        <f>IF(AND(入力・結果表示シート!C89="〇",D32&lt;7),(10-G25)/2,0)</f>
        <v>0</v>
      </c>
      <c r="F32" s="72"/>
      <c r="K32" s="67"/>
      <c r="L32" s="154"/>
      <c r="M32" s="57">
        <v>7700001</v>
      </c>
      <c r="N32" s="48" t="s">
        <v>40</v>
      </c>
      <c r="O32" s="57">
        <f>M33-1</f>
        <v>10000000</v>
      </c>
      <c r="P32" s="49" t="str">
        <f t="shared" ref="P32:U32" si="27">IF(AND(P22&gt;=65,$M$32&lt;=P23,P23&lt;=$O$32),ROUNDDOWN(P23*0.05+1455000,0),"")</f>
        <v/>
      </c>
      <c r="Q32" s="49" t="str">
        <f t="shared" si="27"/>
        <v/>
      </c>
      <c r="R32" s="49" t="str">
        <f t="shared" si="27"/>
        <v/>
      </c>
      <c r="S32" s="49" t="str">
        <f t="shared" si="27"/>
        <v/>
      </c>
      <c r="T32" s="49" t="str">
        <f t="shared" si="27"/>
        <v/>
      </c>
      <c r="U32" s="49" t="str">
        <f t="shared" si="27"/>
        <v/>
      </c>
      <c r="W32" s="67"/>
      <c r="X32" s="67"/>
      <c r="Y32" s="67"/>
      <c r="Z32" s="67"/>
      <c r="AA32" s="67"/>
      <c r="AB32" s="67"/>
      <c r="AC32" s="67"/>
      <c r="AD32" s="67"/>
      <c r="AE32" s="67"/>
    </row>
    <row r="33" spans="1:31" x14ac:dyDescent="0.15">
      <c r="A33" s="77" t="s">
        <v>13</v>
      </c>
      <c r="B33" s="78" t="str">
        <f t="shared" si="26"/>
        <v/>
      </c>
      <c r="C33" s="197"/>
      <c r="D33" s="78">
        <f>IF(入力・結果表示シート!C90="〇",DATEDIF(B33,$C$31,"y"),0)</f>
        <v>0</v>
      </c>
      <c r="E33" s="79">
        <f>IF(AND(入力・結果表示シート!C90="〇",D33&lt;7),(10-G25)/2,0)</f>
        <v>0</v>
      </c>
      <c r="F33" s="72"/>
      <c r="K33" s="67"/>
      <c r="L33" s="155"/>
      <c r="M33" s="49">
        <v>10000001</v>
      </c>
      <c r="N33" s="63"/>
      <c r="O33" s="63"/>
      <c r="P33" s="49" t="str">
        <f t="shared" ref="P33:U33" si="28">IF(AND(P22&gt;=65,$M$33&lt;=P23),1955000,"")</f>
        <v/>
      </c>
      <c r="Q33" s="49" t="str">
        <f t="shared" si="28"/>
        <v/>
      </c>
      <c r="R33" s="49" t="str">
        <f t="shared" si="28"/>
        <v/>
      </c>
      <c r="S33" s="49" t="str">
        <f t="shared" si="28"/>
        <v/>
      </c>
      <c r="T33" s="49" t="str">
        <f t="shared" si="28"/>
        <v/>
      </c>
      <c r="U33" s="49" t="str">
        <f t="shared" si="28"/>
        <v/>
      </c>
      <c r="W33" s="67"/>
      <c r="X33" s="67"/>
      <c r="Y33" s="67"/>
      <c r="Z33" s="67"/>
      <c r="AA33" s="67"/>
      <c r="AB33" s="67"/>
      <c r="AC33" s="67"/>
      <c r="AD33" s="67"/>
      <c r="AE33" s="67"/>
    </row>
    <row r="34" spans="1:31" x14ac:dyDescent="0.15">
      <c r="A34" s="77" t="s">
        <v>14</v>
      </c>
      <c r="B34" s="78" t="str">
        <f t="shared" si="26"/>
        <v/>
      </c>
      <c r="C34" s="197"/>
      <c r="D34" s="78">
        <f>IF(入力・結果表示シート!C91="〇",DATEDIF(B34,$C$31,"y"),0)</f>
        <v>0</v>
      </c>
      <c r="E34" s="79">
        <f>IF(AND(入力・結果表示シート!C91="〇",D34&lt;7),(10-G25)/2,0)</f>
        <v>0</v>
      </c>
      <c r="F34" s="72"/>
      <c r="K34" s="67"/>
      <c r="O34" s="97" t="s">
        <v>54</v>
      </c>
      <c r="P34" s="56">
        <f>SUM(P24:P33)</f>
        <v>1100000</v>
      </c>
      <c r="Q34" s="56">
        <f t="shared" ref="Q34:U34" si="29">SUM(Q24:Q33)</f>
        <v>1100000</v>
      </c>
      <c r="R34" s="56">
        <f t="shared" si="29"/>
        <v>1100000</v>
      </c>
      <c r="S34" s="56">
        <f t="shared" si="29"/>
        <v>1100000</v>
      </c>
      <c r="T34" s="56">
        <f t="shared" si="29"/>
        <v>1100000</v>
      </c>
      <c r="U34" s="56">
        <f t="shared" si="29"/>
        <v>1100000</v>
      </c>
      <c r="W34" s="67"/>
      <c r="X34" s="67"/>
      <c r="Y34" s="67"/>
      <c r="Z34" s="67"/>
      <c r="AA34" s="67"/>
      <c r="AB34" s="67"/>
      <c r="AC34" s="67"/>
      <c r="AD34" s="67"/>
      <c r="AE34" s="67"/>
    </row>
    <row r="35" spans="1:31" x14ac:dyDescent="0.15">
      <c r="A35" s="77" t="s">
        <v>15</v>
      </c>
      <c r="B35" s="78" t="str">
        <f t="shared" si="26"/>
        <v/>
      </c>
      <c r="C35" s="197"/>
      <c r="D35" s="78">
        <f>IF(入力・結果表示シート!C92="〇",DATEDIF(B35,$C$31,"y"),0)</f>
        <v>0</v>
      </c>
      <c r="E35" s="79">
        <f>IF(AND(入力・結果表示シート!C92="〇",D35&lt;7),(10-G25)/2,0)</f>
        <v>0</v>
      </c>
      <c r="F35" s="72"/>
      <c r="K35" s="67"/>
      <c r="O35" s="98" t="s">
        <v>59</v>
      </c>
      <c r="P35" s="64">
        <f>IF(P23-P34&gt;=0,P23-P34,0)</f>
        <v>0</v>
      </c>
      <c r="Q35" s="64">
        <f t="shared" ref="Q35:U35" si="30">IF(Q23-Q34&gt;=0,Q23-Q34,0)</f>
        <v>0</v>
      </c>
      <c r="R35" s="64">
        <f t="shared" si="30"/>
        <v>0</v>
      </c>
      <c r="S35" s="64">
        <f t="shared" si="30"/>
        <v>0</v>
      </c>
      <c r="T35" s="64">
        <f t="shared" si="30"/>
        <v>0</v>
      </c>
      <c r="U35" s="64">
        <f t="shared" si="30"/>
        <v>0</v>
      </c>
      <c r="W35" s="67"/>
      <c r="X35" s="67"/>
      <c r="Y35" s="67"/>
      <c r="Z35" s="67"/>
      <c r="AA35" s="67"/>
      <c r="AB35" s="67"/>
      <c r="AC35" s="67"/>
      <c r="AD35" s="67"/>
      <c r="AE35" s="67"/>
    </row>
    <row r="36" spans="1:31" x14ac:dyDescent="0.15">
      <c r="A36" s="77" t="s">
        <v>16</v>
      </c>
      <c r="B36" s="78" t="str">
        <f t="shared" si="26"/>
        <v/>
      </c>
      <c r="C36" s="197"/>
      <c r="D36" s="78">
        <f>IF(入力・結果表示シート!C93="〇",DATEDIF(B36,$C$31,"y"),0)</f>
        <v>0</v>
      </c>
      <c r="E36" s="79">
        <f>IF(AND(入力・結果表示シート!C93="〇",D36&lt;7),(10-G25)/2,0)</f>
        <v>0</v>
      </c>
      <c r="F36" s="72"/>
      <c r="K36" s="67"/>
      <c r="W36" s="67"/>
      <c r="X36" s="67"/>
      <c r="Y36" s="67"/>
      <c r="Z36" s="67"/>
      <c r="AA36" s="67"/>
      <c r="AB36" s="67"/>
      <c r="AC36" s="67"/>
      <c r="AD36" s="67"/>
      <c r="AE36" s="67"/>
    </row>
    <row r="37" spans="1:31" x14ac:dyDescent="0.15">
      <c r="A37" s="72"/>
      <c r="B37" s="72"/>
      <c r="C37" s="105" t="s">
        <v>286</v>
      </c>
      <c r="D37" s="72"/>
      <c r="E37" s="72"/>
      <c r="F37" s="72"/>
      <c r="K37" s="67"/>
      <c r="W37" s="67"/>
      <c r="X37" s="67"/>
      <c r="Y37" s="67"/>
      <c r="Z37" s="67"/>
      <c r="AA37" s="67"/>
      <c r="AB37" s="67"/>
      <c r="AC37" s="67"/>
      <c r="AD37" s="67"/>
      <c r="AE37" s="67"/>
    </row>
    <row r="38" spans="1:31" x14ac:dyDescent="0.15">
      <c r="A38" s="72"/>
      <c r="B38" s="72"/>
      <c r="C38" s="72"/>
      <c r="D38" s="72"/>
      <c r="E38" s="72"/>
      <c r="F38" s="72"/>
      <c r="K38" s="67"/>
      <c r="L38" s="165" t="s">
        <v>56</v>
      </c>
      <c r="M38" s="166"/>
      <c r="N38" s="166"/>
      <c r="O38" s="167"/>
      <c r="P38" s="159" t="s">
        <v>41</v>
      </c>
      <c r="Q38" s="159"/>
      <c r="R38" s="159"/>
      <c r="S38" s="159"/>
      <c r="T38" s="159"/>
      <c r="U38" s="159"/>
      <c r="W38" s="67"/>
      <c r="X38" s="67"/>
      <c r="Y38" s="67"/>
      <c r="Z38" s="67"/>
      <c r="AA38" s="67"/>
      <c r="AB38" s="67"/>
      <c r="AC38" s="67"/>
      <c r="AD38" s="67"/>
      <c r="AE38" s="67"/>
    </row>
    <row r="39" spans="1:31" x14ac:dyDescent="0.15">
      <c r="K39" s="67"/>
      <c r="L39" s="168"/>
      <c r="M39" s="169"/>
      <c r="N39" s="169"/>
      <c r="O39" s="170"/>
      <c r="P39" s="48" t="s">
        <v>11</v>
      </c>
      <c r="Q39" s="48" t="s">
        <v>12</v>
      </c>
      <c r="R39" s="48" t="s">
        <v>13</v>
      </c>
      <c r="S39" s="48" t="s">
        <v>14</v>
      </c>
      <c r="T39" s="48" t="s">
        <v>15</v>
      </c>
      <c r="U39" s="48" t="s">
        <v>16</v>
      </c>
      <c r="W39" s="67"/>
      <c r="X39" s="67"/>
      <c r="Y39" s="67"/>
      <c r="Z39" s="67"/>
      <c r="AA39" s="67"/>
      <c r="AB39" s="67"/>
      <c r="AC39" s="67"/>
    </row>
    <row r="40" spans="1:31" x14ac:dyDescent="0.15">
      <c r="K40" s="67"/>
      <c r="L40" s="168"/>
      <c r="M40" s="169"/>
      <c r="N40" s="169"/>
      <c r="O40" s="170"/>
      <c r="P40" s="63" t="str">
        <f>C13</f>
        <v/>
      </c>
      <c r="Q40" s="63" t="str">
        <f>C14</f>
        <v/>
      </c>
      <c r="R40" s="63" t="str">
        <f>C15</f>
        <v/>
      </c>
      <c r="S40" s="63" t="str">
        <f>C16</f>
        <v/>
      </c>
      <c r="T40" s="63" t="str">
        <f>C17</f>
        <v/>
      </c>
      <c r="U40" s="63" t="str">
        <f>C18</f>
        <v/>
      </c>
      <c r="V40" s="52" t="s">
        <v>36</v>
      </c>
      <c r="W40" s="67"/>
      <c r="X40" s="67"/>
      <c r="Y40" s="67"/>
      <c r="Z40" s="67"/>
      <c r="AA40" s="67"/>
      <c r="AB40" s="67"/>
      <c r="AC40" s="67"/>
    </row>
    <row r="41" spans="1:31" ht="13.15" customHeight="1" thickBot="1" x14ac:dyDescent="0.2">
      <c r="A41" s="156" t="s">
        <v>0</v>
      </c>
      <c r="B41" s="198" t="s">
        <v>5</v>
      </c>
      <c r="C41" s="199"/>
      <c r="D41" s="200"/>
      <c r="E41" s="201" t="s">
        <v>9</v>
      </c>
      <c r="F41" s="202"/>
      <c r="G41" s="203"/>
      <c r="H41" s="160" t="s">
        <v>10</v>
      </c>
      <c r="I41" s="161"/>
      <c r="J41" s="162"/>
      <c r="K41" s="67"/>
      <c r="L41" s="171"/>
      <c r="M41" s="172"/>
      <c r="N41" s="172"/>
      <c r="O41" s="173"/>
      <c r="P41" s="51">
        <f>入力・結果表示シート!H88</f>
        <v>0</v>
      </c>
      <c r="Q41" s="51">
        <f>入力・結果表示シート!H89</f>
        <v>0</v>
      </c>
      <c r="R41" s="51">
        <f>入力・結果表示シート!H90</f>
        <v>0</v>
      </c>
      <c r="S41" s="51">
        <f>入力・結果表示シート!H91</f>
        <v>0</v>
      </c>
      <c r="T41" s="51">
        <f>入力・結果表示シート!H92</f>
        <v>0</v>
      </c>
      <c r="U41" s="51">
        <f>入力・結果表示シート!H93</f>
        <v>0</v>
      </c>
      <c r="V41" s="52" t="s">
        <v>37</v>
      </c>
      <c r="W41" s="67"/>
      <c r="X41" s="67"/>
      <c r="Y41" s="67"/>
      <c r="Z41" s="67"/>
      <c r="AA41" s="67"/>
      <c r="AB41" s="67"/>
      <c r="AC41" s="67"/>
    </row>
    <row r="42" spans="1:31" ht="14.25" thickTop="1" x14ac:dyDescent="0.15">
      <c r="A42" s="192"/>
      <c r="B42" s="80" t="s">
        <v>6</v>
      </c>
      <c r="C42" s="81" t="s">
        <v>7</v>
      </c>
      <c r="D42" s="80" t="s">
        <v>8</v>
      </c>
      <c r="E42" s="80" t="s">
        <v>6</v>
      </c>
      <c r="F42" s="81" t="s">
        <v>7</v>
      </c>
      <c r="G42" s="81" t="s">
        <v>8</v>
      </c>
      <c r="H42" s="80" t="s">
        <v>6</v>
      </c>
      <c r="I42" s="81" t="s">
        <v>7</v>
      </c>
      <c r="J42" s="80" t="s">
        <v>8</v>
      </c>
      <c r="K42" s="67"/>
      <c r="L42" s="153" t="s">
        <v>33</v>
      </c>
      <c r="M42" s="57"/>
      <c r="N42" s="48" t="s">
        <v>29</v>
      </c>
      <c r="O42" s="57">
        <f>M43-1</f>
        <v>1300000</v>
      </c>
      <c r="P42" s="49" t="str">
        <f t="shared" ref="P42:U42" si="31">IF(AND(P40&lt;65,P41&lt;=$O$42),500000,"")</f>
        <v/>
      </c>
      <c r="Q42" s="49" t="str">
        <f t="shared" si="31"/>
        <v/>
      </c>
      <c r="R42" s="49" t="str">
        <f t="shared" si="31"/>
        <v/>
      </c>
      <c r="S42" s="49" t="str">
        <f t="shared" si="31"/>
        <v/>
      </c>
      <c r="T42" s="49" t="str">
        <f t="shared" si="31"/>
        <v/>
      </c>
      <c r="U42" s="49" t="str">
        <f t="shared" si="31"/>
        <v/>
      </c>
      <c r="W42" s="67"/>
      <c r="X42" s="67"/>
      <c r="Y42" s="67"/>
      <c r="Z42" s="67"/>
      <c r="AA42" s="67"/>
      <c r="AB42" s="67"/>
      <c r="AC42" s="67"/>
    </row>
    <row r="43" spans="1:31" x14ac:dyDescent="0.15">
      <c r="A43" s="157"/>
      <c r="B43" s="82">
        <v>9.7000000000000003E-2</v>
      </c>
      <c r="C43" s="83">
        <v>18200</v>
      </c>
      <c r="D43" s="84">
        <v>25400</v>
      </c>
      <c r="E43" s="82">
        <v>1.5900000000000001E-2</v>
      </c>
      <c r="F43" s="85">
        <v>3300</v>
      </c>
      <c r="G43" s="85">
        <v>5300</v>
      </c>
      <c r="H43" s="82">
        <v>1.5599999999999999E-2</v>
      </c>
      <c r="I43" s="83">
        <v>7700</v>
      </c>
      <c r="J43" s="84">
        <v>4600</v>
      </c>
      <c r="K43" s="67"/>
      <c r="L43" s="154"/>
      <c r="M43" s="57">
        <v>1300001</v>
      </c>
      <c r="N43" s="48" t="s">
        <v>29</v>
      </c>
      <c r="O43" s="57">
        <f t="shared" ref="O43:O45" si="32">M44-1</f>
        <v>4100000</v>
      </c>
      <c r="P43" s="49" t="str">
        <f t="shared" ref="P43:U43" si="33">IF(AND(P40&lt;65,$M$43&lt;=P41,P41&lt;=$O$43),ROUNDDOWN(P41*0.25+175000,0),"")</f>
        <v/>
      </c>
      <c r="Q43" s="49" t="str">
        <f t="shared" si="33"/>
        <v/>
      </c>
      <c r="R43" s="49" t="str">
        <f t="shared" si="33"/>
        <v/>
      </c>
      <c r="S43" s="49" t="str">
        <f t="shared" si="33"/>
        <v/>
      </c>
      <c r="T43" s="49" t="str">
        <f t="shared" si="33"/>
        <v/>
      </c>
      <c r="U43" s="49" t="str">
        <f t="shared" si="33"/>
        <v/>
      </c>
      <c r="W43" s="67"/>
      <c r="X43" s="67"/>
      <c r="Y43" s="67"/>
      <c r="Z43" s="67"/>
      <c r="AA43" s="67"/>
      <c r="AB43" s="67"/>
      <c r="AC43" s="67"/>
    </row>
    <row r="44" spans="1:31" x14ac:dyDescent="0.15">
      <c r="A44" s="48" t="s">
        <v>11</v>
      </c>
      <c r="B44" s="86">
        <f>IF(入力・結果表示シート!C88="〇",ROUNDDOWN(F3*$B$43,0),0)</f>
        <v>0</v>
      </c>
      <c r="C44" s="79">
        <f>IF(入力・結果表示シート!C88="〇",$C$43-($C$43*$G$25/10)-($C$43*E31/10),0)</f>
        <v>0</v>
      </c>
      <c r="D44" s="207">
        <f>IF(COUNTIF(入力・結果表示シート!C88:C93,"〇")&gt;=1,D43-(D43*G25/10),0)</f>
        <v>0</v>
      </c>
      <c r="E44" s="86">
        <f>IF(入力・結果表示シート!C88="〇",ROUNDDOWN(F3*$E$43,0),0)</f>
        <v>0</v>
      </c>
      <c r="F44" s="79">
        <f>IF(入力・結果表示シート!C88="〇",$F$43-($F$43*$G$25/10)-($F$43*E31/10),0)</f>
        <v>0</v>
      </c>
      <c r="G44" s="207">
        <f>IF(COUNTIF(入力・結果表示シート!C88:C93,"〇")&gt;=1,G43-(G43*G25/10),0)</f>
        <v>0</v>
      </c>
      <c r="H44" s="79">
        <f>IF(AND(C13&gt;39,C13&lt;65,入力・結果表示シート!C88="〇"),ROUNDDOWN(F3*$H$43,0),0)</f>
        <v>0</v>
      </c>
      <c r="I44" s="79">
        <f>IF(AND(C13&gt;39,C13&lt;65,入力・結果表示シート!C88="〇"),$I$43-($I$43*$G$25/10)-($I$43*E31/10),0)</f>
        <v>0</v>
      </c>
      <c r="J44" s="207">
        <f>IF(COUNTIF($F$13:$F$18,"介")&gt;=1,J43-(J43*G25/10),0)</f>
        <v>0</v>
      </c>
      <c r="K44" s="67"/>
      <c r="L44" s="154"/>
      <c r="M44" s="57">
        <v>4100001</v>
      </c>
      <c r="N44" s="48" t="s">
        <v>29</v>
      </c>
      <c r="O44" s="57">
        <f t="shared" si="32"/>
        <v>7700000</v>
      </c>
      <c r="P44" s="49" t="str">
        <f t="shared" ref="P44:U44" si="34">IF(AND(P40&lt;65,$M$44&lt;=P41,P41&lt;=$O$44),ROUNDDOWN(P41*0.15+585000,0),"")</f>
        <v/>
      </c>
      <c r="Q44" s="49" t="str">
        <f t="shared" si="34"/>
        <v/>
      </c>
      <c r="R44" s="49" t="str">
        <f t="shared" si="34"/>
        <v/>
      </c>
      <c r="S44" s="49" t="str">
        <f t="shared" si="34"/>
        <v/>
      </c>
      <c r="T44" s="49" t="str">
        <f t="shared" si="34"/>
        <v/>
      </c>
      <c r="U44" s="49" t="str">
        <f t="shared" si="34"/>
        <v/>
      </c>
      <c r="W44" s="67"/>
      <c r="X44" s="67"/>
      <c r="Y44" s="67"/>
      <c r="Z44" s="67"/>
      <c r="AA44" s="67"/>
      <c r="AB44" s="67"/>
      <c r="AC44" s="67"/>
    </row>
    <row r="45" spans="1:31" x14ac:dyDescent="0.15">
      <c r="A45" s="48" t="s">
        <v>12</v>
      </c>
      <c r="B45" s="86">
        <f>IF(入力・結果表示シート!C89="〇",ROUNDDOWN(F4*$B$43,0),0)</f>
        <v>0</v>
      </c>
      <c r="C45" s="79">
        <f>IF(入力・結果表示シート!C89="〇",$C$43-($C$43*$G$25/10)-($C$43*E32/10),0)</f>
        <v>0</v>
      </c>
      <c r="D45" s="208"/>
      <c r="E45" s="86">
        <f>IF(入力・結果表示シート!C89="〇",ROUNDDOWN(F4*$E$43,0),0)</f>
        <v>0</v>
      </c>
      <c r="F45" s="79">
        <f>IF(入力・結果表示シート!C89="〇",$F$43-($F$43*$G$25/10)-($F$43*E32/10),0)</f>
        <v>0</v>
      </c>
      <c r="G45" s="208"/>
      <c r="H45" s="79">
        <f>IF(AND(C14&gt;39,C14&lt;65,入力・結果表示シート!C89="〇"),ROUNDDOWN(F4*$H$43,0),0)</f>
        <v>0</v>
      </c>
      <c r="I45" s="79">
        <f>IF(AND(C14&gt;39,C14&lt;65,入力・結果表示シート!C89="〇"),$I$43-($I$43*$G$25/10)-($I$43*E32/10),0)</f>
        <v>0</v>
      </c>
      <c r="J45" s="208"/>
      <c r="K45" s="67"/>
      <c r="L45" s="154"/>
      <c r="M45" s="57">
        <v>7700001</v>
      </c>
      <c r="N45" s="48" t="s">
        <v>29</v>
      </c>
      <c r="O45" s="57">
        <f t="shared" si="32"/>
        <v>10000000</v>
      </c>
      <c r="P45" s="49" t="str">
        <f t="shared" ref="P45:U45" si="35">IF(AND(P40&lt;65,$M$45&lt;=P41,P41&lt;=$O$45),ROUNDDOWN(P41*0.05+1355000,0),"")</f>
        <v/>
      </c>
      <c r="Q45" s="49" t="str">
        <f t="shared" si="35"/>
        <v/>
      </c>
      <c r="R45" s="49" t="str">
        <f t="shared" si="35"/>
        <v/>
      </c>
      <c r="S45" s="49" t="str">
        <f t="shared" si="35"/>
        <v/>
      </c>
      <c r="T45" s="49" t="str">
        <f t="shared" si="35"/>
        <v/>
      </c>
      <c r="U45" s="49" t="str">
        <f t="shared" si="35"/>
        <v/>
      </c>
      <c r="W45" s="67"/>
      <c r="X45" s="67"/>
      <c r="Y45" s="67"/>
      <c r="Z45" s="67"/>
      <c r="AA45" s="67"/>
      <c r="AB45" s="67"/>
      <c r="AC45" s="67"/>
    </row>
    <row r="46" spans="1:31" x14ac:dyDescent="0.15">
      <c r="A46" s="48" t="s">
        <v>13</v>
      </c>
      <c r="B46" s="86">
        <f>IF(入力・結果表示シート!C90="〇",ROUNDDOWN(F5*$B$43,0),0)</f>
        <v>0</v>
      </c>
      <c r="C46" s="79">
        <f>IF(入力・結果表示シート!C90="〇",$C$43-($C$43*$G$25/10)-($C$43*E33/10),0)</f>
        <v>0</v>
      </c>
      <c r="D46" s="208"/>
      <c r="E46" s="86">
        <f>IF(入力・結果表示シート!C90="〇",ROUNDDOWN(F5*$E$43,0),0)</f>
        <v>0</v>
      </c>
      <c r="F46" s="79">
        <f>IF(入力・結果表示シート!C90="〇",$F$43-($F$43*$G$25/10)-($F$43*E33/10),0)</f>
        <v>0</v>
      </c>
      <c r="G46" s="208"/>
      <c r="H46" s="79">
        <f>IF(AND(C15&gt;39,C15&lt;65,入力・結果表示シート!C90="〇"),ROUNDDOWN(F5*$H$43,0),0)</f>
        <v>0</v>
      </c>
      <c r="I46" s="79">
        <f>IF(AND(C15&gt;39,C15&lt;65,入力・結果表示シート!C90="〇"),$I$43-($I$43*$G$25/10)-($I$43*E33/10),0)</f>
        <v>0</v>
      </c>
      <c r="J46" s="208"/>
      <c r="K46" s="67"/>
      <c r="L46" s="155"/>
      <c r="M46" s="76">
        <v>10000001</v>
      </c>
      <c r="N46" s="63"/>
      <c r="O46" s="63"/>
      <c r="P46" s="49" t="str">
        <f t="shared" ref="P46:U46" si="36">IF(AND(P40&lt;65,$M$46&lt;=P41),1855000,"")</f>
        <v/>
      </c>
      <c r="Q46" s="49" t="str">
        <f t="shared" si="36"/>
        <v/>
      </c>
      <c r="R46" s="49" t="str">
        <f t="shared" si="36"/>
        <v/>
      </c>
      <c r="S46" s="49" t="str">
        <f t="shared" si="36"/>
        <v/>
      </c>
      <c r="T46" s="49" t="str">
        <f t="shared" si="36"/>
        <v/>
      </c>
      <c r="U46" s="49" t="str">
        <f t="shared" si="36"/>
        <v/>
      </c>
      <c r="W46" s="67"/>
      <c r="X46" s="67"/>
      <c r="Y46" s="67"/>
      <c r="Z46" s="67"/>
      <c r="AA46" s="67"/>
      <c r="AB46" s="67"/>
      <c r="AC46" s="67"/>
    </row>
    <row r="47" spans="1:31" ht="13.9" customHeight="1" x14ac:dyDescent="0.15">
      <c r="A47" s="48" t="s">
        <v>14</v>
      </c>
      <c r="B47" s="86">
        <f>IF(入力・結果表示シート!C91="〇",ROUNDDOWN(F6*$B$43,0),0)</f>
        <v>0</v>
      </c>
      <c r="C47" s="79">
        <f>IF(入力・結果表示シート!C91="〇",$C$43-($C$43*$G$25/10)-($C$43*E34/10),0)</f>
        <v>0</v>
      </c>
      <c r="D47" s="208"/>
      <c r="E47" s="86">
        <f>IF(入力・結果表示シート!C91="〇",ROUNDDOWN(F6*$E$43,0),0)</f>
        <v>0</v>
      </c>
      <c r="F47" s="79">
        <f>IF(入力・結果表示シート!C91="〇",$F$43-($F$43*$G$25/10)-($F$43*E34/10),0)</f>
        <v>0</v>
      </c>
      <c r="G47" s="208"/>
      <c r="H47" s="79">
        <f>IF(AND(C16&gt;39,C16&lt;65,入力・結果表示シート!C91="〇"),ROUNDDOWN(F6*$H$43,0),0)</f>
        <v>0</v>
      </c>
      <c r="I47" s="79">
        <f>IF(AND(C16&gt;39,C16&lt;65,入力・結果表示シート!C91="〇"),$I$43-($I$43*$G$25/10)-($I$43*E34/10),0)</f>
        <v>0</v>
      </c>
      <c r="J47" s="208"/>
      <c r="K47" s="67"/>
      <c r="L47" s="153" t="s">
        <v>34</v>
      </c>
      <c r="M47" s="57"/>
      <c r="N47" s="48" t="s">
        <v>29</v>
      </c>
      <c r="O47" s="57">
        <f>M48-1</f>
        <v>3300000</v>
      </c>
      <c r="P47" s="49">
        <f t="shared" ref="P47:U47" si="37">IF(AND(65&lt;=P40,P41&lt;=$O$47),1000000,"")</f>
        <v>1000000</v>
      </c>
      <c r="Q47" s="49">
        <f t="shared" si="37"/>
        <v>1000000</v>
      </c>
      <c r="R47" s="49">
        <f t="shared" si="37"/>
        <v>1000000</v>
      </c>
      <c r="S47" s="49">
        <f t="shared" si="37"/>
        <v>1000000</v>
      </c>
      <c r="T47" s="49">
        <f t="shared" si="37"/>
        <v>1000000</v>
      </c>
      <c r="U47" s="49">
        <f t="shared" si="37"/>
        <v>1000000</v>
      </c>
      <c r="W47" s="67"/>
      <c r="X47" s="67"/>
      <c r="Y47" s="67"/>
      <c r="Z47" s="67"/>
      <c r="AA47" s="67"/>
      <c r="AB47" s="67"/>
      <c r="AC47" s="67"/>
    </row>
    <row r="48" spans="1:31" x14ac:dyDescent="0.15">
      <c r="A48" s="48" t="s">
        <v>15</v>
      </c>
      <c r="B48" s="86">
        <f>IF(入力・結果表示シート!C92="〇",ROUNDDOWN(F7*$B$43,0),0)</f>
        <v>0</v>
      </c>
      <c r="C48" s="79">
        <f>IF(入力・結果表示シート!C92="〇",$C$43-($C$43*$G$25/10)-($C$43*E35/10),0)</f>
        <v>0</v>
      </c>
      <c r="D48" s="208"/>
      <c r="E48" s="86">
        <f>IF(入力・結果表示シート!C92="〇",ROUNDDOWN(F7*$E$43,0),0)</f>
        <v>0</v>
      </c>
      <c r="F48" s="79">
        <f>IF(入力・結果表示シート!C92="〇",$F$43-($F$43*$G$25/10)-($F$43*E35/10),0)</f>
        <v>0</v>
      </c>
      <c r="G48" s="208"/>
      <c r="H48" s="79">
        <f>IF(AND(C17&gt;39,C17&lt;65,入力・結果表示シート!C92="〇"),ROUNDDOWN(F7*$H$43,0),0)</f>
        <v>0</v>
      </c>
      <c r="I48" s="79">
        <f>IF(AND(C17&gt;39,C17&lt;65,入力・結果表示シート!C92="〇"),$I$43-($I$43*$G$25/10)-($I$43*E35/10),0)</f>
        <v>0</v>
      </c>
      <c r="J48" s="208"/>
      <c r="K48" s="67"/>
      <c r="L48" s="154"/>
      <c r="M48" s="57">
        <v>3300001</v>
      </c>
      <c r="N48" s="48" t="s">
        <v>29</v>
      </c>
      <c r="O48" s="57">
        <f>M49-1</f>
        <v>4100000</v>
      </c>
      <c r="P48" s="49" t="str">
        <f t="shared" ref="P48:U48" si="38">IF(AND(P40&gt;=65,$M$48&lt;=P41,P41&lt;=$O$48),ROUNDDOWN(P41*0.25+175000,0),"")</f>
        <v/>
      </c>
      <c r="Q48" s="49" t="str">
        <f t="shared" si="38"/>
        <v/>
      </c>
      <c r="R48" s="49" t="str">
        <f t="shared" si="38"/>
        <v/>
      </c>
      <c r="S48" s="49" t="str">
        <f t="shared" si="38"/>
        <v/>
      </c>
      <c r="T48" s="49" t="str">
        <f t="shared" si="38"/>
        <v/>
      </c>
      <c r="U48" s="49" t="str">
        <f t="shared" si="38"/>
        <v/>
      </c>
      <c r="W48" s="67"/>
      <c r="X48" s="67"/>
      <c r="Y48" s="67"/>
      <c r="Z48" s="67"/>
      <c r="AA48" s="67"/>
      <c r="AB48" s="67"/>
      <c r="AC48" s="67"/>
    </row>
    <row r="49" spans="1:44" ht="14.25" customHeight="1" thickBot="1" x14ac:dyDescent="0.2">
      <c r="A49" s="87" t="s">
        <v>16</v>
      </c>
      <c r="B49" s="86">
        <f>IF(入力・結果表示シート!C93="〇",ROUNDDOWN(F8*$B$43,0),0)</f>
        <v>0</v>
      </c>
      <c r="C49" s="79">
        <f>IF(入力・結果表示シート!C93="〇",$C$43-($C$43*$G$25/10)-($C$43*E36/10),0)</f>
        <v>0</v>
      </c>
      <c r="D49" s="209"/>
      <c r="E49" s="86">
        <f>IF(入力・結果表示シート!C93="〇",ROUNDDOWN(F8*$E$43,0),0)</f>
        <v>0</v>
      </c>
      <c r="F49" s="79">
        <f>IF(入力・結果表示シート!C93="〇",$F$43-($F$43*$G$25/10)-($F$43*E36/10),0)</f>
        <v>0</v>
      </c>
      <c r="G49" s="209"/>
      <c r="H49" s="79">
        <f>IF(AND(C18&gt;39,C18&lt;65,入力・結果表示シート!C93="〇"),ROUNDDOWN(F8*$H$43,0),0)</f>
        <v>0</v>
      </c>
      <c r="I49" s="79">
        <f>IF(AND(C18&gt;39,C18&lt;65,入力・結果表示シート!C93="〇"),$I$43-($I$43*$G$25/10)-($I$43*E36/10),0)</f>
        <v>0</v>
      </c>
      <c r="J49" s="209"/>
      <c r="K49" s="67"/>
      <c r="L49" s="154"/>
      <c r="M49" s="57">
        <v>4100001</v>
      </c>
      <c r="N49" s="48" t="s">
        <v>29</v>
      </c>
      <c r="O49" s="57">
        <f>M50-1</f>
        <v>7700000</v>
      </c>
      <c r="P49" s="49" t="str">
        <f t="shared" ref="P49:U49" si="39">IF(AND(P40&gt;=65,$M$49&lt;=P41,P41&lt;=$O$49),ROUNDDOWN(P41*0.15+585000,0),"")</f>
        <v/>
      </c>
      <c r="Q49" s="49" t="str">
        <f t="shared" si="39"/>
        <v/>
      </c>
      <c r="R49" s="49" t="str">
        <f t="shared" si="39"/>
        <v/>
      </c>
      <c r="S49" s="49" t="str">
        <f t="shared" si="39"/>
        <v/>
      </c>
      <c r="T49" s="49" t="str">
        <f t="shared" si="39"/>
        <v/>
      </c>
      <c r="U49" s="49" t="str">
        <f t="shared" si="39"/>
        <v/>
      </c>
      <c r="W49" s="67"/>
      <c r="X49" s="67"/>
      <c r="Y49" s="67"/>
      <c r="Z49" s="67"/>
      <c r="AA49" s="67"/>
      <c r="AB49" s="67"/>
      <c r="AC49" s="67"/>
    </row>
    <row r="50" spans="1:44" ht="14.25" thickBot="1" x14ac:dyDescent="0.2">
      <c r="A50" s="88" t="s">
        <v>61</v>
      </c>
      <c r="B50" s="89">
        <f t="shared" ref="B50:J50" si="40">SUM(B44:B49)</f>
        <v>0</v>
      </c>
      <c r="C50" s="89">
        <f>SUM(C44:C49)</f>
        <v>0</v>
      </c>
      <c r="D50" s="89">
        <f t="shared" si="40"/>
        <v>0</v>
      </c>
      <c r="E50" s="89">
        <f t="shared" si="40"/>
        <v>0</v>
      </c>
      <c r="F50" s="89">
        <f t="shared" si="40"/>
        <v>0</v>
      </c>
      <c r="G50" s="89">
        <f t="shared" si="40"/>
        <v>0</v>
      </c>
      <c r="H50" s="89">
        <f t="shared" si="40"/>
        <v>0</v>
      </c>
      <c r="I50" s="89">
        <f t="shared" si="40"/>
        <v>0</v>
      </c>
      <c r="J50" s="89">
        <f t="shared" si="40"/>
        <v>0</v>
      </c>
      <c r="K50" s="67"/>
      <c r="L50" s="154"/>
      <c r="M50" s="57">
        <v>7700001</v>
      </c>
      <c r="N50" s="48" t="s">
        <v>29</v>
      </c>
      <c r="O50" s="57">
        <f>M51-1</f>
        <v>10000000</v>
      </c>
      <c r="P50" s="49" t="str">
        <f t="shared" ref="P50:U50" si="41">IF(AND(P40&gt;=65,$M$50&lt;=P41,P41&lt;=$O$50),ROUNDDOWN(P41*0.05+1355000,0),"")</f>
        <v/>
      </c>
      <c r="Q50" s="49" t="str">
        <f t="shared" si="41"/>
        <v/>
      </c>
      <c r="R50" s="49" t="str">
        <f t="shared" si="41"/>
        <v/>
      </c>
      <c r="S50" s="49" t="str">
        <f t="shared" si="41"/>
        <v/>
      </c>
      <c r="T50" s="49" t="str">
        <f t="shared" si="41"/>
        <v/>
      </c>
      <c r="U50" s="49" t="str">
        <f t="shared" si="41"/>
        <v/>
      </c>
      <c r="W50" s="67"/>
      <c r="X50" s="67"/>
      <c r="Y50" s="67"/>
      <c r="Z50" s="67"/>
      <c r="AA50" s="67"/>
      <c r="AB50" s="67"/>
      <c r="AC50" s="67"/>
    </row>
    <row r="51" spans="1:44" ht="14.25" thickBot="1" x14ac:dyDescent="0.2">
      <c r="A51" s="90" t="s">
        <v>19</v>
      </c>
      <c r="B51" s="163">
        <v>650000</v>
      </c>
      <c r="C51" s="163"/>
      <c r="D51" s="163"/>
      <c r="E51" s="164">
        <v>220000</v>
      </c>
      <c r="F51" s="164"/>
      <c r="G51" s="164"/>
      <c r="H51" s="163">
        <v>170000</v>
      </c>
      <c r="I51" s="163"/>
      <c r="J51" s="163"/>
      <c r="K51" s="67"/>
      <c r="L51" s="155"/>
      <c r="M51" s="49">
        <v>10000001</v>
      </c>
      <c r="N51" s="63"/>
      <c r="O51" s="63"/>
      <c r="P51" s="49" t="str">
        <f t="shared" ref="P51:U51" si="42">IF(AND(P40&gt;=65,$M$51&lt;=P41),1855000,"")</f>
        <v/>
      </c>
      <c r="Q51" s="49" t="str">
        <f t="shared" si="42"/>
        <v/>
      </c>
      <c r="R51" s="49" t="str">
        <f t="shared" si="42"/>
        <v/>
      </c>
      <c r="S51" s="49" t="str">
        <f t="shared" si="42"/>
        <v/>
      </c>
      <c r="T51" s="49" t="str">
        <f t="shared" si="42"/>
        <v/>
      </c>
      <c r="U51" s="49" t="str">
        <f t="shared" si="42"/>
        <v/>
      </c>
      <c r="W51" s="67"/>
      <c r="X51" s="67"/>
      <c r="Y51" s="67"/>
      <c r="Z51" s="67"/>
      <c r="AA51" s="67"/>
      <c r="AB51" s="67"/>
      <c r="AC51" s="67"/>
    </row>
    <row r="52" spans="1:44" ht="14.25" thickBot="1" x14ac:dyDescent="0.2">
      <c r="A52" s="91" t="s">
        <v>47</v>
      </c>
      <c r="B52" s="204">
        <f>IF(SUM(B50:D50)&lt;B51,ROUNDDOWN(SUM(B50:D50),-2),B51)</f>
        <v>0</v>
      </c>
      <c r="C52" s="204"/>
      <c r="D52" s="204"/>
      <c r="E52" s="204">
        <f>IF(SUM(E50:G50)&lt;E51,ROUNDDOWN(SUM(E50:G50),-2),E51)</f>
        <v>0</v>
      </c>
      <c r="F52" s="204"/>
      <c r="G52" s="204"/>
      <c r="H52" s="204">
        <f>IF(SUM(H50:J50)&lt;H51,ROUNDDOWN(SUM(H50:J50),-2),H51)</f>
        <v>0</v>
      </c>
      <c r="I52" s="204"/>
      <c r="J52" s="205"/>
      <c r="K52" s="67"/>
      <c r="O52" s="97" t="s">
        <v>54</v>
      </c>
      <c r="P52" s="56">
        <f>SUM(P42:P51)</f>
        <v>1000000</v>
      </c>
      <c r="Q52" s="56">
        <f t="shared" ref="Q52:U52" si="43">SUM(Q42:Q51)</f>
        <v>1000000</v>
      </c>
      <c r="R52" s="56">
        <f t="shared" si="43"/>
        <v>1000000</v>
      </c>
      <c r="S52" s="56">
        <f t="shared" si="43"/>
        <v>1000000</v>
      </c>
      <c r="T52" s="56">
        <f t="shared" si="43"/>
        <v>1000000</v>
      </c>
      <c r="U52" s="56">
        <f t="shared" si="43"/>
        <v>1000000</v>
      </c>
      <c r="W52" s="67"/>
      <c r="X52" s="67"/>
      <c r="Y52" s="67"/>
      <c r="Z52" s="67"/>
      <c r="AA52" s="67"/>
      <c r="AB52" s="67"/>
      <c r="AC52" s="67"/>
    </row>
    <row r="53" spans="1:44" x14ac:dyDescent="0.15">
      <c r="K53" s="67"/>
      <c r="O53" s="98" t="s">
        <v>59</v>
      </c>
      <c r="P53" s="64">
        <f>IF(P41-P52&gt;=0,P41-P52,0)</f>
        <v>0</v>
      </c>
      <c r="Q53" s="64">
        <f t="shared" ref="Q53:U53" si="44">IF(Q41-Q52&gt;=0,Q41-Q52,0)</f>
        <v>0</v>
      </c>
      <c r="R53" s="64">
        <f t="shared" si="44"/>
        <v>0</v>
      </c>
      <c r="S53" s="64">
        <f t="shared" si="44"/>
        <v>0</v>
      </c>
      <c r="T53" s="64">
        <f t="shared" si="44"/>
        <v>0</v>
      </c>
      <c r="U53" s="64">
        <f t="shared" si="44"/>
        <v>0</v>
      </c>
      <c r="W53" s="67"/>
      <c r="X53" s="67"/>
      <c r="Y53" s="67"/>
      <c r="Z53" s="67"/>
      <c r="AA53" s="67"/>
      <c r="AB53" s="67"/>
      <c r="AC53" s="67"/>
    </row>
    <row r="54" spans="1:44" ht="14.25" thickBot="1" x14ac:dyDescent="0.2">
      <c r="K54" s="67"/>
      <c r="L54" s="65"/>
      <c r="M54" s="65"/>
      <c r="N54" s="65"/>
      <c r="O54" s="92"/>
      <c r="P54" s="93"/>
      <c r="Q54" s="93"/>
      <c r="R54" s="93"/>
      <c r="S54" s="93"/>
      <c r="T54" s="93"/>
      <c r="U54" s="93"/>
      <c r="V54" s="65"/>
      <c r="W54" s="67"/>
      <c r="X54" s="67"/>
      <c r="Y54" s="67"/>
      <c r="Z54" s="67"/>
      <c r="AA54" s="67"/>
      <c r="AB54" s="67"/>
      <c r="AC54" s="67"/>
      <c r="AD54" s="67"/>
      <c r="AE54" s="67"/>
      <c r="AN54" s="93"/>
      <c r="AO54" s="93"/>
      <c r="AP54" s="93"/>
      <c r="AQ54" s="93"/>
      <c r="AR54" s="65"/>
    </row>
    <row r="55" spans="1:44" x14ac:dyDescent="0.15">
      <c r="A55" s="185" t="s">
        <v>42</v>
      </c>
      <c r="B55" s="187">
        <f>SUM(B52:J52)</f>
        <v>0</v>
      </c>
      <c r="C55" s="188"/>
      <c r="K55" s="67"/>
      <c r="L55" s="65"/>
      <c r="M55" s="65"/>
      <c r="N55" s="65"/>
      <c r="O55" s="65"/>
      <c r="P55" s="65"/>
      <c r="Q55" s="65"/>
      <c r="R55" s="65"/>
      <c r="S55" s="65"/>
      <c r="T55" s="65"/>
      <c r="U55" s="65"/>
      <c r="V55" s="65"/>
      <c r="W55" s="67"/>
      <c r="X55" s="67"/>
      <c r="Y55" s="67"/>
      <c r="Z55" s="67"/>
      <c r="AA55" s="67"/>
      <c r="AB55" s="67"/>
      <c r="AC55" s="67"/>
      <c r="AD55" s="67"/>
      <c r="AE55" s="67"/>
    </row>
    <row r="56" spans="1:44" ht="14.25" thickBot="1" x14ac:dyDescent="0.2">
      <c r="A56" s="186"/>
      <c r="B56" s="189"/>
      <c r="C56" s="190"/>
      <c r="K56" s="67"/>
      <c r="L56" s="165" t="s">
        <v>57</v>
      </c>
      <c r="M56" s="166"/>
      <c r="N56" s="166"/>
      <c r="O56" s="167"/>
      <c r="P56" s="159" t="s">
        <v>41</v>
      </c>
      <c r="Q56" s="159"/>
      <c r="R56" s="159"/>
      <c r="S56" s="159"/>
      <c r="T56" s="159"/>
      <c r="U56" s="159"/>
      <c r="W56" s="67"/>
      <c r="X56" s="67"/>
      <c r="Y56" s="67"/>
      <c r="Z56" s="67"/>
      <c r="AA56" s="67"/>
      <c r="AB56" s="67"/>
      <c r="AC56" s="67"/>
      <c r="AD56" s="67"/>
      <c r="AE56" s="67"/>
    </row>
    <row r="57" spans="1:44" x14ac:dyDescent="0.15">
      <c r="K57" s="67"/>
      <c r="L57" s="168"/>
      <c r="M57" s="169"/>
      <c r="N57" s="169"/>
      <c r="O57" s="170"/>
      <c r="P57" s="48" t="s">
        <v>11</v>
      </c>
      <c r="Q57" s="48" t="s">
        <v>12</v>
      </c>
      <c r="R57" s="48" t="s">
        <v>13</v>
      </c>
      <c r="S57" s="48" t="s">
        <v>14</v>
      </c>
      <c r="T57" s="48" t="s">
        <v>15</v>
      </c>
      <c r="U57" s="48" t="s">
        <v>16</v>
      </c>
      <c r="W57" s="67"/>
      <c r="X57" s="67"/>
      <c r="Y57" s="67"/>
      <c r="Z57" s="67"/>
      <c r="AA57" s="67"/>
      <c r="AB57" s="67"/>
      <c r="AC57" s="67"/>
      <c r="AD57" s="67"/>
      <c r="AE57" s="67"/>
    </row>
    <row r="58" spans="1:44" x14ac:dyDescent="0.15">
      <c r="K58" s="67"/>
      <c r="L58" s="168"/>
      <c r="M58" s="169"/>
      <c r="N58" s="169"/>
      <c r="O58" s="170"/>
      <c r="P58" s="63" t="str">
        <f>C13</f>
        <v/>
      </c>
      <c r="Q58" s="63" t="str">
        <f>C14</f>
        <v/>
      </c>
      <c r="R58" s="63" t="str">
        <f>C15</f>
        <v/>
      </c>
      <c r="S58" s="63" t="str">
        <f>C16</f>
        <v/>
      </c>
      <c r="T58" s="63" t="str">
        <f>C17</f>
        <v/>
      </c>
      <c r="U58" s="63" t="str">
        <f>C18</f>
        <v/>
      </c>
      <c r="V58" s="52" t="s">
        <v>36</v>
      </c>
      <c r="W58" s="67"/>
      <c r="X58" s="67"/>
      <c r="Y58" s="67"/>
      <c r="Z58" s="67"/>
      <c r="AA58" s="67"/>
      <c r="AB58" s="67"/>
      <c r="AC58" s="67"/>
      <c r="AD58" s="67"/>
      <c r="AE58" s="67"/>
    </row>
    <row r="59" spans="1:44" ht="14.25" thickBot="1" x14ac:dyDescent="0.2">
      <c r="K59" s="67"/>
      <c r="L59" s="171"/>
      <c r="M59" s="172"/>
      <c r="N59" s="172"/>
      <c r="O59" s="173"/>
      <c r="P59" s="51">
        <f>入力・結果表示シート!H88</f>
        <v>0</v>
      </c>
      <c r="Q59" s="51">
        <f>入力・結果表示シート!H89</f>
        <v>0</v>
      </c>
      <c r="R59" s="51">
        <f>入力・結果表示シート!H90</f>
        <v>0</v>
      </c>
      <c r="S59" s="51">
        <f>入力・結果表示シート!H91</f>
        <v>0</v>
      </c>
      <c r="T59" s="51">
        <f>入力・結果表示シート!H92</f>
        <v>0</v>
      </c>
      <c r="U59" s="51">
        <f>入力・結果表示シート!H93</f>
        <v>0</v>
      </c>
      <c r="V59" s="52" t="s">
        <v>37</v>
      </c>
      <c r="W59" s="67"/>
      <c r="X59" s="67"/>
      <c r="Y59" s="67"/>
      <c r="Z59" s="67"/>
      <c r="AA59" s="67"/>
      <c r="AB59" s="67"/>
      <c r="AC59" s="67"/>
      <c r="AD59" s="67"/>
      <c r="AE59" s="67"/>
    </row>
    <row r="60" spans="1:44" ht="14.25" thickTop="1" x14ac:dyDescent="0.15">
      <c r="K60" s="67"/>
      <c r="L60" s="153" t="s">
        <v>33</v>
      </c>
      <c r="M60" s="57"/>
      <c r="N60" s="48" t="s">
        <v>29</v>
      </c>
      <c r="O60" s="57">
        <f>M61-1</f>
        <v>1300000</v>
      </c>
      <c r="P60" s="49" t="str">
        <f t="shared" ref="P60:U60" si="45">IF(AND(P58&lt;65,P59&lt;=$O$60),400000,"")</f>
        <v/>
      </c>
      <c r="Q60" s="49" t="str">
        <f t="shared" si="45"/>
        <v/>
      </c>
      <c r="R60" s="49" t="str">
        <f t="shared" si="45"/>
        <v/>
      </c>
      <c r="S60" s="49" t="str">
        <f t="shared" si="45"/>
        <v/>
      </c>
      <c r="T60" s="49" t="str">
        <f t="shared" si="45"/>
        <v/>
      </c>
      <c r="U60" s="49" t="str">
        <f t="shared" si="45"/>
        <v/>
      </c>
      <c r="W60" s="67"/>
      <c r="X60" s="67"/>
      <c r="Y60" s="67"/>
      <c r="Z60" s="67"/>
      <c r="AA60" s="67"/>
      <c r="AB60" s="67"/>
      <c r="AC60" s="67"/>
      <c r="AD60" s="67"/>
      <c r="AE60" s="67"/>
    </row>
    <row r="61" spans="1:44" x14ac:dyDescent="0.15">
      <c r="K61" s="67"/>
      <c r="L61" s="154"/>
      <c r="M61" s="57">
        <v>1300001</v>
      </c>
      <c r="N61" s="48" t="s">
        <v>29</v>
      </c>
      <c r="O61" s="57">
        <f t="shared" ref="O61:O63" si="46">M62-1</f>
        <v>4100000</v>
      </c>
      <c r="P61" s="49" t="str">
        <f t="shared" ref="P61:U61" si="47">IF(AND(P58&lt;65,$M$61&lt;=P59,P59&lt;=$O$61),ROUNDDOWN(P59*0.25+75000,0),"")</f>
        <v/>
      </c>
      <c r="Q61" s="49" t="str">
        <f t="shared" si="47"/>
        <v/>
      </c>
      <c r="R61" s="49" t="str">
        <f t="shared" si="47"/>
        <v/>
      </c>
      <c r="S61" s="49" t="str">
        <f t="shared" si="47"/>
        <v/>
      </c>
      <c r="T61" s="49" t="str">
        <f t="shared" si="47"/>
        <v/>
      </c>
      <c r="U61" s="49" t="str">
        <f t="shared" si="47"/>
        <v/>
      </c>
      <c r="W61" s="67"/>
      <c r="X61" s="67"/>
      <c r="Y61" s="67"/>
      <c r="Z61" s="67"/>
      <c r="AA61" s="67"/>
      <c r="AB61" s="67"/>
      <c r="AC61" s="67"/>
      <c r="AD61" s="67"/>
      <c r="AE61" s="67"/>
    </row>
    <row r="62" spans="1:44" x14ac:dyDescent="0.15">
      <c r="K62" s="67"/>
      <c r="L62" s="154"/>
      <c r="M62" s="57">
        <v>4100001</v>
      </c>
      <c r="N62" s="48" t="s">
        <v>29</v>
      </c>
      <c r="O62" s="57">
        <f t="shared" si="46"/>
        <v>7700000</v>
      </c>
      <c r="P62" s="49" t="str">
        <f t="shared" ref="P62:U62" si="48">IF(AND(P58&lt;65,$M$62&lt;=P59,P59&lt;=$O$62),ROUNDDOWN(P59*0.15+485000,0),"")</f>
        <v/>
      </c>
      <c r="Q62" s="49" t="str">
        <f t="shared" si="48"/>
        <v/>
      </c>
      <c r="R62" s="49" t="str">
        <f t="shared" si="48"/>
        <v/>
      </c>
      <c r="S62" s="49" t="str">
        <f t="shared" si="48"/>
        <v/>
      </c>
      <c r="T62" s="49" t="str">
        <f t="shared" si="48"/>
        <v/>
      </c>
      <c r="U62" s="49" t="str">
        <f t="shared" si="48"/>
        <v/>
      </c>
      <c r="W62" s="67"/>
      <c r="X62" s="67"/>
      <c r="Y62" s="67"/>
      <c r="Z62" s="67"/>
      <c r="AA62" s="67"/>
      <c r="AB62" s="67"/>
      <c r="AC62" s="67"/>
      <c r="AD62" s="67"/>
      <c r="AE62" s="67"/>
    </row>
    <row r="63" spans="1:44" x14ac:dyDescent="0.15">
      <c r="K63" s="67"/>
      <c r="L63" s="154"/>
      <c r="M63" s="57">
        <v>7700001</v>
      </c>
      <c r="N63" s="48" t="s">
        <v>29</v>
      </c>
      <c r="O63" s="57">
        <f t="shared" si="46"/>
        <v>10000000</v>
      </c>
      <c r="P63" s="49" t="str">
        <f t="shared" ref="P63:U63" si="49">IF(AND(P58&lt;65,$M$63&lt;=P59,P59&lt;=$O$63),ROUNDDOWN(P59*0.05+1255000,0),"")</f>
        <v/>
      </c>
      <c r="Q63" s="49" t="str">
        <f t="shared" si="49"/>
        <v/>
      </c>
      <c r="R63" s="49" t="str">
        <f t="shared" si="49"/>
        <v/>
      </c>
      <c r="S63" s="49" t="str">
        <f t="shared" si="49"/>
        <v/>
      </c>
      <c r="T63" s="49" t="str">
        <f t="shared" si="49"/>
        <v/>
      </c>
      <c r="U63" s="49" t="str">
        <f t="shared" si="49"/>
        <v/>
      </c>
      <c r="W63" s="67"/>
      <c r="X63" s="67"/>
      <c r="Y63" s="67"/>
      <c r="Z63" s="67"/>
      <c r="AA63" s="67"/>
      <c r="AB63" s="67"/>
      <c r="AC63" s="67"/>
      <c r="AD63" s="67"/>
      <c r="AE63" s="67"/>
    </row>
    <row r="64" spans="1:44" x14ac:dyDescent="0.15">
      <c r="K64" s="67"/>
      <c r="L64" s="155"/>
      <c r="M64" s="76">
        <v>10000001</v>
      </c>
      <c r="N64" s="63"/>
      <c r="O64" s="63"/>
      <c r="P64" s="49" t="str">
        <f t="shared" ref="P64:U64" si="50">IF(AND(P58&lt;65,$M$28&lt;=P59),1755000,"")</f>
        <v/>
      </c>
      <c r="Q64" s="49" t="str">
        <f t="shared" si="50"/>
        <v/>
      </c>
      <c r="R64" s="49" t="str">
        <f t="shared" si="50"/>
        <v/>
      </c>
      <c r="S64" s="49" t="str">
        <f t="shared" si="50"/>
        <v/>
      </c>
      <c r="T64" s="49" t="str">
        <f t="shared" si="50"/>
        <v/>
      </c>
      <c r="U64" s="49" t="str">
        <f t="shared" si="50"/>
        <v/>
      </c>
      <c r="W64" s="67"/>
      <c r="X64" s="67"/>
      <c r="Y64" s="67"/>
      <c r="Z64" s="67"/>
      <c r="AA64" s="67"/>
      <c r="AB64" s="67"/>
      <c r="AC64" s="67"/>
      <c r="AD64" s="67"/>
      <c r="AE64" s="67"/>
    </row>
    <row r="65" spans="11:31" ht="13.15" customHeight="1" x14ac:dyDescent="0.15">
      <c r="K65" s="67"/>
      <c r="L65" s="153" t="s">
        <v>34</v>
      </c>
      <c r="M65" s="57"/>
      <c r="N65" s="48" t="s">
        <v>29</v>
      </c>
      <c r="O65" s="57">
        <f>M66-1</f>
        <v>3300000</v>
      </c>
      <c r="P65" s="49">
        <f t="shared" ref="P65:U65" si="51">IF(AND(65&lt;=P58,P59&lt;=$O$65),900000,"")</f>
        <v>900000</v>
      </c>
      <c r="Q65" s="49">
        <f t="shared" si="51"/>
        <v>900000</v>
      </c>
      <c r="R65" s="49">
        <f t="shared" si="51"/>
        <v>900000</v>
      </c>
      <c r="S65" s="49">
        <f t="shared" si="51"/>
        <v>900000</v>
      </c>
      <c r="T65" s="49">
        <f t="shared" si="51"/>
        <v>900000</v>
      </c>
      <c r="U65" s="49">
        <f t="shared" si="51"/>
        <v>900000</v>
      </c>
      <c r="W65" s="67"/>
      <c r="X65" s="67"/>
      <c r="Y65" s="67"/>
      <c r="Z65" s="67"/>
      <c r="AA65" s="67"/>
      <c r="AB65" s="67"/>
      <c r="AC65" s="67"/>
      <c r="AD65" s="67"/>
      <c r="AE65" s="67"/>
    </row>
    <row r="66" spans="11:31" x14ac:dyDescent="0.15">
      <c r="K66" s="67"/>
      <c r="L66" s="154"/>
      <c r="M66" s="57">
        <v>3300001</v>
      </c>
      <c r="N66" s="48" t="s">
        <v>29</v>
      </c>
      <c r="O66" s="57">
        <f>M67-1</f>
        <v>4100000</v>
      </c>
      <c r="P66" s="49" t="str">
        <f t="shared" ref="P66:U66" si="52">IF(AND(P58&gt;=65,$M$66&lt;=P59,P59&lt;=$O$66),ROUNDDOWN(P59*0.25+75000,0),"")</f>
        <v/>
      </c>
      <c r="Q66" s="49" t="str">
        <f t="shared" si="52"/>
        <v/>
      </c>
      <c r="R66" s="49" t="str">
        <f t="shared" si="52"/>
        <v/>
      </c>
      <c r="S66" s="49" t="str">
        <f t="shared" si="52"/>
        <v/>
      </c>
      <c r="T66" s="49" t="str">
        <f t="shared" si="52"/>
        <v/>
      </c>
      <c r="U66" s="49" t="str">
        <f t="shared" si="52"/>
        <v/>
      </c>
      <c r="W66" s="67"/>
      <c r="X66" s="67"/>
      <c r="Y66" s="67"/>
      <c r="Z66" s="67"/>
      <c r="AA66" s="67"/>
      <c r="AB66" s="67"/>
      <c r="AC66" s="67"/>
      <c r="AD66" s="67"/>
      <c r="AE66" s="67"/>
    </row>
    <row r="67" spans="11:31" x14ac:dyDescent="0.15">
      <c r="K67" s="67"/>
      <c r="L67" s="154"/>
      <c r="M67" s="57">
        <v>4100001</v>
      </c>
      <c r="N67" s="48" t="s">
        <v>29</v>
      </c>
      <c r="O67" s="57">
        <f>M68-1</f>
        <v>7700000</v>
      </c>
      <c r="P67" s="49" t="str">
        <f t="shared" ref="P67:U67" si="53">IF(AND(P58&gt;=65,$M$67&lt;=P59,P59&lt;=$O$67),ROUNDDOWN(P59*0.15+485000,0),"")</f>
        <v/>
      </c>
      <c r="Q67" s="49" t="str">
        <f t="shared" si="53"/>
        <v/>
      </c>
      <c r="R67" s="49" t="str">
        <f t="shared" si="53"/>
        <v/>
      </c>
      <c r="S67" s="49" t="str">
        <f t="shared" si="53"/>
        <v/>
      </c>
      <c r="T67" s="49" t="str">
        <f t="shared" si="53"/>
        <v/>
      </c>
      <c r="U67" s="49" t="str">
        <f t="shared" si="53"/>
        <v/>
      </c>
      <c r="W67" s="67"/>
      <c r="X67" s="67"/>
      <c r="Y67" s="67"/>
      <c r="Z67" s="67"/>
      <c r="AA67" s="67"/>
      <c r="AB67" s="67"/>
      <c r="AC67" s="67"/>
      <c r="AD67" s="67"/>
      <c r="AE67" s="67"/>
    </row>
    <row r="68" spans="11:31" x14ac:dyDescent="0.15">
      <c r="K68" s="67"/>
      <c r="L68" s="154"/>
      <c r="M68" s="57">
        <v>7700001</v>
      </c>
      <c r="N68" s="48" t="s">
        <v>29</v>
      </c>
      <c r="O68" s="57">
        <f>M69-1</f>
        <v>10000000</v>
      </c>
      <c r="P68" s="49" t="str">
        <f t="shared" ref="P68:U68" si="54">IF(AND(P58&gt;=65,$M$68&lt;=P59,P59&lt;=$O$68),ROUNDDOWN(P59*0.05+1255000,0),"")</f>
        <v/>
      </c>
      <c r="Q68" s="49" t="str">
        <f t="shared" si="54"/>
        <v/>
      </c>
      <c r="R68" s="49" t="str">
        <f t="shared" si="54"/>
        <v/>
      </c>
      <c r="S68" s="49" t="str">
        <f t="shared" si="54"/>
        <v/>
      </c>
      <c r="T68" s="49" t="str">
        <f t="shared" si="54"/>
        <v/>
      </c>
      <c r="U68" s="49" t="str">
        <f t="shared" si="54"/>
        <v/>
      </c>
      <c r="W68" s="67"/>
      <c r="X68" s="67"/>
      <c r="Y68" s="67"/>
      <c r="Z68" s="67"/>
      <c r="AA68" s="67"/>
      <c r="AB68" s="67"/>
      <c r="AC68" s="67"/>
      <c r="AD68" s="67"/>
      <c r="AE68" s="67"/>
    </row>
    <row r="69" spans="11:31" x14ac:dyDescent="0.15">
      <c r="K69" s="67"/>
      <c r="L69" s="155"/>
      <c r="M69" s="49">
        <v>10000001</v>
      </c>
      <c r="N69" s="63"/>
      <c r="O69" s="63"/>
      <c r="P69" s="49" t="str">
        <f t="shared" ref="P69:U69" si="55">IF(AND(P58&gt;=65,$M$33&lt;=P59),1755000,"")</f>
        <v/>
      </c>
      <c r="Q69" s="49" t="str">
        <f t="shared" si="55"/>
        <v/>
      </c>
      <c r="R69" s="49" t="str">
        <f t="shared" si="55"/>
        <v/>
      </c>
      <c r="S69" s="49" t="str">
        <f t="shared" si="55"/>
        <v/>
      </c>
      <c r="T69" s="49" t="str">
        <f t="shared" si="55"/>
        <v/>
      </c>
      <c r="U69" s="49" t="str">
        <f t="shared" si="55"/>
        <v/>
      </c>
      <c r="W69" s="67"/>
      <c r="X69" s="67"/>
      <c r="Y69" s="67"/>
      <c r="Z69" s="67"/>
      <c r="AA69" s="67"/>
      <c r="AB69" s="67"/>
      <c r="AC69" s="67"/>
      <c r="AD69" s="67"/>
      <c r="AE69" s="67"/>
    </row>
    <row r="70" spans="11:31" x14ac:dyDescent="0.15">
      <c r="K70" s="67"/>
      <c r="O70" s="97" t="s">
        <v>54</v>
      </c>
      <c r="P70" s="56">
        <f>SUM(P60:P69)</f>
        <v>900000</v>
      </c>
      <c r="Q70" s="56">
        <f t="shared" ref="Q70:U70" si="56">SUM(Q60:Q69)</f>
        <v>900000</v>
      </c>
      <c r="R70" s="56">
        <f t="shared" si="56"/>
        <v>900000</v>
      </c>
      <c r="S70" s="56">
        <f t="shared" si="56"/>
        <v>900000</v>
      </c>
      <c r="T70" s="56">
        <f t="shared" si="56"/>
        <v>900000</v>
      </c>
      <c r="U70" s="56">
        <f t="shared" si="56"/>
        <v>900000</v>
      </c>
      <c r="W70" s="67"/>
      <c r="X70" s="67"/>
      <c r="Y70" s="67"/>
      <c r="Z70" s="67"/>
      <c r="AA70" s="67"/>
      <c r="AB70" s="67"/>
      <c r="AC70" s="67"/>
      <c r="AD70" s="67"/>
      <c r="AE70" s="67"/>
    </row>
    <row r="71" spans="11:31" x14ac:dyDescent="0.15">
      <c r="K71" s="67"/>
      <c r="O71" s="98" t="s">
        <v>59</v>
      </c>
      <c r="P71" s="64">
        <f>IF(P59-P70&gt;=0,P59-P70,0)</f>
        <v>0</v>
      </c>
      <c r="Q71" s="64">
        <f t="shared" ref="Q71:U71" si="57">IF(Q59-Q70&gt;=0,Q59-Q70,0)</f>
        <v>0</v>
      </c>
      <c r="R71" s="64">
        <f t="shared" si="57"/>
        <v>0</v>
      </c>
      <c r="S71" s="64">
        <f t="shared" si="57"/>
        <v>0</v>
      </c>
      <c r="T71" s="64">
        <f t="shared" si="57"/>
        <v>0</v>
      </c>
      <c r="U71" s="64">
        <f t="shared" si="57"/>
        <v>0</v>
      </c>
      <c r="W71" s="67"/>
      <c r="X71" s="67"/>
      <c r="Y71" s="67"/>
      <c r="Z71" s="67"/>
      <c r="AA71" s="67"/>
      <c r="AB71" s="67"/>
      <c r="AC71" s="67"/>
      <c r="AD71" s="67"/>
      <c r="AE71" s="67"/>
    </row>
    <row r="72" spans="11:31" x14ac:dyDescent="0.15">
      <c r="K72" s="67"/>
      <c r="W72" s="67"/>
      <c r="X72" s="67"/>
      <c r="Y72" s="67"/>
      <c r="Z72" s="67"/>
      <c r="AA72" s="67"/>
      <c r="AB72" s="67"/>
      <c r="AC72" s="67"/>
      <c r="AD72" s="67"/>
      <c r="AE72" s="67"/>
    </row>
    <row r="73" spans="11:31" x14ac:dyDescent="0.15">
      <c r="K73" s="67"/>
      <c r="W73" s="67"/>
      <c r="X73" s="67"/>
      <c r="Y73" s="67"/>
      <c r="Z73" s="67"/>
      <c r="AA73" s="67"/>
      <c r="AB73" s="67"/>
      <c r="AC73" s="67"/>
      <c r="AD73" s="67"/>
      <c r="AE73" s="67"/>
    </row>
    <row r="74" spans="11:31" x14ac:dyDescent="0.15">
      <c r="K74" s="67"/>
      <c r="M74" s="99"/>
      <c r="N74" s="99"/>
      <c r="O74" s="99"/>
      <c r="P74" s="100" t="s">
        <v>11</v>
      </c>
      <c r="Q74" s="100" t="s">
        <v>12</v>
      </c>
      <c r="R74" s="100" t="s">
        <v>13</v>
      </c>
      <c r="S74" s="100" t="s">
        <v>14</v>
      </c>
      <c r="T74" s="100" t="s">
        <v>15</v>
      </c>
      <c r="U74" s="100" t="s">
        <v>16</v>
      </c>
      <c r="W74" s="67"/>
      <c r="X74" s="67"/>
      <c r="Y74" s="67"/>
      <c r="Z74" s="67"/>
      <c r="AA74" s="67"/>
      <c r="AB74" s="67"/>
      <c r="AC74" s="67"/>
      <c r="AD74" s="67"/>
      <c r="AE74" s="67"/>
    </row>
    <row r="75" spans="11:31" x14ac:dyDescent="0.15">
      <c r="K75" s="67"/>
      <c r="M75" s="101"/>
      <c r="N75" s="101"/>
      <c r="O75" s="102" t="s">
        <v>58</v>
      </c>
      <c r="P75" s="103">
        <f>B3+D3</f>
        <v>0</v>
      </c>
      <c r="Q75" s="103">
        <f>B4+D4</f>
        <v>0</v>
      </c>
      <c r="R75" s="103">
        <f>B5+D5</f>
        <v>0</v>
      </c>
      <c r="S75" s="103">
        <f>B6+D6</f>
        <v>0</v>
      </c>
      <c r="T75" s="103">
        <f>B7+D7</f>
        <v>0</v>
      </c>
      <c r="U75" s="103">
        <f>B8+D8</f>
        <v>0</v>
      </c>
      <c r="W75" s="67"/>
      <c r="X75" s="67"/>
      <c r="Y75" s="67"/>
      <c r="Z75" s="67"/>
      <c r="AA75" s="67"/>
      <c r="AB75" s="67"/>
      <c r="AC75" s="67"/>
      <c r="AD75" s="67"/>
      <c r="AE75" s="67"/>
    </row>
    <row r="76" spans="11:31" x14ac:dyDescent="0.15">
      <c r="K76" s="67"/>
      <c r="M76" s="99"/>
      <c r="N76" s="99"/>
      <c r="O76" s="102" t="s">
        <v>60</v>
      </c>
      <c r="P76" s="104">
        <f>IF(P75&lt;=10000000,P35,IF(AND(10000001&lt;=P75,P75&gt;=20000000),P53,IF(20000001&lt;=P75,P71,0)))</f>
        <v>0</v>
      </c>
      <c r="Q76" s="104">
        <f t="shared" ref="Q76:U76" si="58">IF(Q75&lt;=10000000,Q35,IF(AND(10000001&lt;=Q75,Q75&gt;=20000000),Q53,IF(20000001&lt;=Q75,Q71,0)))</f>
        <v>0</v>
      </c>
      <c r="R76" s="104">
        <f t="shared" si="58"/>
        <v>0</v>
      </c>
      <c r="S76" s="104">
        <f t="shared" si="58"/>
        <v>0</v>
      </c>
      <c r="T76" s="104">
        <f t="shared" si="58"/>
        <v>0</v>
      </c>
      <c r="U76" s="104">
        <f t="shared" si="58"/>
        <v>0</v>
      </c>
      <c r="W76" s="67"/>
      <c r="X76" s="67"/>
      <c r="Y76" s="67"/>
      <c r="Z76" s="67"/>
      <c r="AA76" s="67"/>
      <c r="AB76" s="67"/>
      <c r="AC76" s="67"/>
      <c r="AD76" s="67"/>
      <c r="AE76" s="67"/>
    </row>
    <row r="77" spans="11:31" x14ac:dyDescent="0.15">
      <c r="K77" s="67"/>
      <c r="L77" s="67"/>
      <c r="M77" s="67"/>
      <c r="N77" s="67"/>
      <c r="O77" s="67"/>
      <c r="P77" s="67"/>
      <c r="Q77" s="67"/>
      <c r="R77" s="67"/>
      <c r="S77" s="67"/>
      <c r="T77" s="67"/>
      <c r="U77" s="67"/>
      <c r="V77" s="67"/>
      <c r="W77" s="67"/>
      <c r="X77" s="67"/>
      <c r="Y77" s="67"/>
      <c r="Z77" s="67"/>
      <c r="AA77" s="67"/>
      <c r="AB77" s="67"/>
      <c r="AC77" s="67"/>
      <c r="AD77" s="67"/>
      <c r="AE77" s="67"/>
    </row>
    <row r="78" spans="11:31" x14ac:dyDescent="0.15">
      <c r="K78" s="67"/>
      <c r="L78" s="67"/>
      <c r="M78" s="67"/>
      <c r="N78" s="67"/>
      <c r="O78" s="67"/>
      <c r="P78" s="67"/>
      <c r="Q78" s="67"/>
      <c r="R78" s="67"/>
      <c r="S78" s="67"/>
      <c r="T78" s="67"/>
      <c r="U78" s="67"/>
      <c r="V78" s="67"/>
      <c r="W78" s="67"/>
      <c r="X78" s="67"/>
      <c r="Y78" s="67"/>
      <c r="Z78" s="67"/>
      <c r="AA78" s="67"/>
      <c r="AB78" s="67"/>
      <c r="AC78" s="67"/>
      <c r="AD78" s="67"/>
      <c r="AE78" s="67"/>
    </row>
    <row r="79" spans="11:31" x14ac:dyDescent="0.15">
      <c r="K79" s="67"/>
      <c r="L79" s="67"/>
      <c r="M79" s="67"/>
      <c r="N79" s="67"/>
      <c r="O79" s="67"/>
      <c r="P79" s="67"/>
      <c r="Q79" s="67"/>
      <c r="R79" s="67"/>
      <c r="S79" s="67"/>
      <c r="T79" s="67"/>
      <c r="U79" s="67"/>
      <c r="V79" s="67"/>
      <c r="W79" s="67"/>
      <c r="X79" s="67"/>
      <c r="Y79" s="67"/>
      <c r="Z79" s="67"/>
      <c r="AA79" s="67"/>
      <c r="AB79" s="67"/>
      <c r="AC79" s="67"/>
      <c r="AD79" s="67"/>
      <c r="AE79" s="67"/>
    </row>
  </sheetData>
  <sheetProtection algorithmName="SHA-512" hashValue="ipl5pFeQZSIhlH6DzloNknj4CD2Fazl+O41cXQUu9jYMpOXDxFQwFz/d3UZw+3ddrULVzj3iEQwSkDhsHquDoA==" saltValue="6Qynpu1s9OIzUvQiTRv4PQ==" spinCount="100000" sheet="1" objects="1" scenarios="1"/>
  <mergeCells count="52">
    <mergeCell ref="P1:U1"/>
    <mergeCell ref="E1:E2"/>
    <mergeCell ref="D1:D2"/>
    <mergeCell ref="F1:F2"/>
    <mergeCell ref="D44:D49"/>
    <mergeCell ref="J44:J49"/>
    <mergeCell ref="G44:G49"/>
    <mergeCell ref="P20:U20"/>
    <mergeCell ref="D29:D30"/>
    <mergeCell ref="E29:E30"/>
    <mergeCell ref="P38:U38"/>
    <mergeCell ref="P56:U56"/>
    <mergeCell ref="L42:L46"/>
    <mergeCell ref="L47:L51"/>
    <mergeCell ref="A41:A43"/>
    <mergeCell ref="B41:D41"/>
    <mergeCell ref="E41:G41"/>
    <mergeCell ref="B52:D52"/>
    <mergeCell ref="E52:G52"/>
    <mergeCell ref="H52:J52"/>
    <mergeCell ref="C1:C2"/>
    <mergeCell ref="B1:B2"/>
    <mergeCell ref="L24:L28"/>
    <mergeCell ref="M1:O3"/>
    <mergeCell ref="A55:A56"/>
    <mergeCell ref="B55:C56"/>
    <mergeCell ref="A1:A2"/>
    <mergeCell ref="B11:B12"/>
    <mergeCell ref="B21:B22"/>
    <mergeCell ref="C23:C25"/>
    <mergeCell ref="B23:B25"/>
    <mergeCell ref="D21:D22"/>
    <mergeCell ref="A29:A30"/>
    <mergeCell ref="B29:B30"/>
    <mergeCell ref="C29:C30"/>
    <mergeCell ref="C31:C36"/>
    <mergeCell ref="L60:L64"/>
    <mergeCell ref="L65:L69"/>
    <mergeCell ref="A11:A12"/>
    <mergeCell ref="C11:C12"/>
    <mergeCell ref="E11:E12"/>
    <mergeCell ref="D11:D12"/>
    <mergeCell ref="A21:A22"/>
    <mergeCell ref="H41:J41"/>
    <mergeCell ref="B51:D51"/>
    <mergeCell ref="E51:G51"/>
    <mergeCell ref="H51:J51"/>
    <mergeCell ref="L20:O23"/>
    <mergeCell ref="L38:O41"/>
    <mergeCell ref="L56:O59"/>
    <mergeCell ref="L29:L33"/>
    <mergeCell ref="C21:C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入力・結果表示シート</vt:lpstr>
      <vt:lpstr>計算シート（入力不可）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2023-03-22T05:06:41Z</dcterms:modified>
</cp:coreProperties>
</file>