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codeName="ThisWorkbook" filterPrivacy="1"/>
  <xr:revisionPtr xr6:coauthVersionLast="45" xr6:coauthVersionMax="47" documentId="13_ncr:1_{714EE020-B6C8-4BF8-B053-73B02379FA74}" revIDLastSave="0" xr10:uidLastSave="{00000000-0000-0000-0000-000000000000}"/>
  <bookViews>
    <workbookView tabRatio="867" xr2:uid="{00000000-000D-0000-FFFF-FFFF00000000}" windowHeight="15015" windowWidth="17535" xWindow="5655" yWindow="450"/>
  </bookViews>
  <sheets>
    <sheet r:id="rId1" name="基本情報入力シート" sheetId="73"/>
    <sheet r:id="rId2" name="別紙様式2-1 （処遇改善加算 総括表）" sheetId="88"/>
    <sheet r:id="rId3" name="別紙様式2-2（処遇改善加算　個票）" sheetId="84"/>
    <sheet r:id="rId4" name="別紙様式2-3（補助金　総括表）" sheetId="78"/>
    <sheet r:id="rId5" name="別紙様式2-4（補助金 個票） " sheetId="79"/>
    <sheet r:id="rId6" name="参考（キャリアパス要件概要及びキャリアパス・賃金規程例）" sheetId="89"/>
    <sheet r:id="rId7" name="【参考】数式用" sheetId="81" state="hidden"/>
    <sheet r:id="rId8" name="【参考】数式用２" sheetId="87" state="hidden"/>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hidden="1" localSheetId="6" name="_xlnm._FilterDatabase">【参考】数式用!#REF!</definedName>
    <definedName hidden="1" localSheetId="7" name="_xlnm._FilterDatabase">【参考】数式用２!#REF!</definedName>
    <definedName hidden="1" localSheetId="2" name="_xlnm._FilterDatabase">'別紙様式2-2（処遇改善加算　個票）'!$AY$11:$AY$411</definedName>
    <definedName hidden="1" localSheetId="4" name="_xlnm._FilterDatabase">'別紙様式2-4（補助金 個票） '!$D$10:$D$110</definedName>
    <definedName localSheetId="6" name="_xlnm.Print_Area">【参考】数式用!$D$1:$D$1</definedName>
    <definedName localSheetId="0" name="_xlnm.Print_Area">基本情報入力シート!$A$1:$AE$86</definedName>
    <definedName localSheetId="5" name="_xlnm.Print_Area">'参考（キャリアパス要件概要及びキャリアパス・賃金規程例）'!$A$1:$I$36</definedName>
    <definedName localSheetId="1" name="_xlnm.Print_Area">'別紙様式2-1 （処遇改善加算 総括表）'!$A$1:$AL$148</definedName>
    <definedName localSheetId="2" name="_xlnm.Print_Area">'別紙様式2-2（処遇改善加算　個票）'!$A$1:$AL$203</definedName>
    <definedName localSheetId="3" name="_xlnm.Print_Area">'別紙様式2-3（補助金　総括表）'!$A$1:$AJ$65</definedName>
    <definedName localSheetId="4" name="_xlnm.Print_Area">'別紙様式2-4（補助金 個票） '!$A$1:$T$58</definedName>
    <definedName localSheetId="2" name="_xlnm.Print_Titles">'別紙様式2-2（処遇改善加算　個票）'!$10:$11</definedName>
    <definedName localSheetId="4" name="_xlnm.Print_Titles">'別紙様式2-4（補助金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AM42" i="88" l="1"/>
  <c r="AJ40"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<sst xmlns="http://schemas.openxmlformats.org/spreadsheetml/2006/main" count="5551" uniqueCount="2362">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</sst>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t="s">
        <v>369</v>
      </c>
      <c r="W14" s="677"/>
      <c r="X14" s="677"/>
      <c r="Y14" s="677"/>
      <c r="Z14" s="678"/>
      <c r="AF14"/>
      <c r="AG14" s="197"/>
      <c r="AH14" s="198"/>
    </row>
    <row r="15" spans="1:39" ht="38.450000000000003"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 customHeight="1">
      <c r="A16" s="682"/>
      <c r="B16" s="683"/>
      <c r="C16" s="683"/>
      <c r="D16" s="683"/>
      <c r="E16" s="683"/>
      <c r="F16" s="683"/>
      <c r="G16" s="683"/>
      <c r="H16" s="683"/>
      <c r="I16" s="683"/>
      <c r="J16" s="683"/>
      <c r="K16" s="683"/>
      <c r="L16" s="683"/>
      <c r="M16" s="683"/>
      <c r="N16" s="683"/>
      <c r="O16" s="683"/>
      <c r="P16" s="683"/>
      <c r="Q16" s="683"/>
      <c r="R16" s="683"/>
      <c r="S16" s="683"/>
      <c r="T16" s="683"/>
      <c r="U16" s="684"/>
      <c r="V16" s="638" t="s">
        <v>2361</v>
      </c>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t="s">
        <v>2324</v>
      </c>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t="s">
        <v>2325</v>
      </c>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v>100</v>
      </c>
      <c r="M23" s="689"/>
      <c r="N23" s="689"/>
      <c r="O23" s="690"/>
      <c r="P23" s="564" t="s">
        <v>16</v>
      </c>
      <c r="Q23" s="691">
        <v>1234</v>
      </c>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t="s">
        <v>2345</v>
      </c>
      <c r="M24" s="667"/>
      <c r="N24" s="667"/>
      <c r="O24" s="667"/>
      <c r="P24" s="667"/>
      <c r="Q24" s="667"/>
      <c r="R24" s="667"/>
      <c r="S24" s="667"/>
      <c r="T24" s="667"/>
      <c r="U24" s="667"/>
      <c r="V24" s="667"/>
      <c r="W24" s="667"/>
      <c r="X24" s="667"/>
      <c r="Y24" s="667"/>
      <c r="Z24" s="667"/>
      <c r="AA24" s="667"/>
      <c r="AB24" s="667"/>
      <c r="AC24" s="667"/>
      <c r="AD24" s="668"/>
      <c r="AF24"/>
      <c r="AM24" s="202" t="str">
        <f>L23&amp;"-"&amp;Q23</f>
        <v>100-1234</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t="s">
        <v>2346</v>
      </c>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t="s">
        <v>2326</v>
      </c>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t="s">
        <v>2347</v>
      </c>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t="s">
        <v>2348</v>
      </c>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t="s">
        <v>2327</v>
      </c>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t="s">
        <v>2349</v>
      </c>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t="s">
        <v>2350</v>
      </c>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15"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 customHeight="1">
      <c r="A39" s="208">
        <v>1</v>
      </c>
      <c r="B39" s="731" t="s">
        <v>2328</v>
      </c>
      <c r="C39" s="732"/>
      <c r="D39" s="732"/>
      <c r="E39" s="732"/>
      <c r="F39" s="732"/>
      <c r="G39" s="732"/>
      <c r="H39" s="732"/>
      <c r="I39" s="732"/>
      <c r="J39" s="732"/>
      <c r="K39" s="732"/>
      <c r="L39" s="699" t="s">
        <v>2333</v>
      </c>
      <c r="M39" s="699"/>
      <c r="N39" s="699"/>
      <c r="O39" s="699"/>
      <c r="P39" s="699"/>
      <c r="Q39" s="696" t="s">
        <v>396</v>
      </c>
      <c r="R39" s="696"/>
      <c r="S39" s="696"/>
      <c r="T39" s="696"/>
      <c r="U39" s="696"/>
      <c r="V39" s="520" t="s">
        <v>1074</v>
      </c>
      <c r="W39" s="520" t="s">
        <v>2334</v>
      </c>
      <c r="X39" s="703" t="s">
        <v>2351</v>
      </c>
      <c r="Y39" s="704"/>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731" t="s">
        <v>2329</v>
      </c>
      <c r="C40" s="732"/>
      <c r="D40" s="732"/>
      <c r="E40" s="732"/>
      <c r="F40" s="732"/>
      <c r="G40" s="732"/>
      <c r="H40" s="732"/>
      <c r="I40" s="732"/>
      <c r="J40" s="732"/>
      <c r="K40" s="732"/>
      <c r="L40" s="699" t="s">
        <v>2333</v>
      </c>
      <c r="M40" s="699"/>
      <c r="N40" s="699"/>
      <c r="O40" s="699"/>
      <c r="P40" s="699"/>
      <c r="Q40" s="696" t="s">
        <v>396</v>
      </c>
      <c r="R40" s="696"/>
      <c r="S40" s="696"/>
      <c r="T40" s="696"/>
      <c r="U40" s="696"/>
      <c r="V40" s="520" t="s">
        <v>1076</v>
      </c>
      <c r="W40" s="520" t="s">
        <v>2335</v>
      </c>
      <c r="X40" s="703" t="s">
        <v>2352</v>
      </c>
      <c r="Y40" s="704"/>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712" t="s">
        <v>2330</v>
      </c>
      <c r="C41" s="713"/>
      <c r="D41" s="713"/>
      <c r="E41" s="713"/>
      <c r="F41" s="713"/>
      <c r="G41" s="713"/>
      <c r="H41" s="713"/>
      <c r="I41" s="713"/>
      <c r="J41" s="713"/>
      <c r="K41" s="714"/>
      <c r="L41" s="700" t="s">
        <v>2333</v>
      </c>
      <c r="M41" s="701"/>
      <c r="N41" s="701"/>
      <c r="O41" s="701"/>
      <c r="P41" s="702"/>
      <c r="Q41" s="696" t="s">
        <v>396</v>
      </c>
      <c r="R41" s="696"/>
      <c r="S41" s="696"/>
      <c r="T41" s="696"/>
      <c r="U41" s="696"/>
      <c r="V41" s="520" t="s">
        <v>1080</v>
      </c>
      <c r="W41" s="101" t="s">
        <v>2336</v>
      </c>
      <c r="X41" s="703" t="s">
        <v>2353</v>
      </c>
      <c r="Y41" s="704"/>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712" t="s">
        <v>2331</v>
      </c>
      <c r="C42" s="713"/>
      <c r="D42" s="713"/>
      <c r="E42" s="713"/>
      <c r="F42" s="713"/>
      <c r="G42" s="713"/>
      <c r="H42" s="713"/>
      <c r="I42" s="713"/>
      <c r="J42" s="713"/>
      <c r="K42" s="714"/>
      <c r="L42" s="700" t="s">
        <v>2333</v>
      </c>
      <c r="M42" s="701"/>
      <c r="N42" s="701"/>
      <c r="O42" s="701"/>
      <c r="P42" s="702"/>
      <c r="Q42" s="696" t="s">
        <v>396</v>
      </c>
      <c r="R42" s="696"/>
      <c r="S42" s="696"/>
      <c r="T42" s="696"/>
      <c r="U42" s="696"/>
      <c r="V42" s="520" t="s">
        <v>1071</v>
      </c>
      <c r="W42" s="101" t="s">
        <v>2337</v>
      </c>
      <c r="X42" s="703" t="s">
        <v>2354</v>
      </c>
      <c r="Y42" s="704"/>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712" t="s">
        <v>2332</v>
      </c>
      <c r="C43" s="713"/>
      <c r="D43" s="713"/>
      <c r="E43" s="713"/>
      <c r="F43" s="713"/>
      <c r="G43" s="713"/>
      <c r="H43" s="713"/>
      <c r="I43" s="713"/>
      <c r="J43" s="713"/>
      <c r="K43" s="714"/>
      <c r="L43" s="700" t="s">
        <v>2333</v>
      </c>
      <c r="M43" s="701"/>
      <c r="N43" s="701"/>
      <c r="O43" s="701"/>
      <c r="P43" s="702"/>
      <c r="Q43" s="696" t="s">
        <v>396</v>
      </c>
      <c r="R43" s="696"/>
      <c r="S43" s="696"/>
      <c r="T43" s="696"/>
      <c r="U43" s="696"/>
      <c r="V43" s="574" t="s">
        <v>1071</v>
      </c>
      <c r="W43" s="101" t="s">
        <v>2338</v>
      </c>
      <c r="X43" s="703" t="s">
        <v>2273</v>
      </c>
      <c r="Y43" s="704"/>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712" t="s">
        <v>2340</v>
      </c>
      <c r="C44" s="713"/>
      <c r="D44" s="713"/>
      <c r="E44" s="713"/>
      <c r="F44" s="713"/>
      <c r="G44" s="713"/>
      <c r="H44" s="713"/>
      <c r="I44" s="713"/>
      <c r="J44" s="713"/>
      <c r="K44" s="714"/>
      <c r="L44" s="700" t="s">
        <v>2333</v>
      </c>
      <c r="M44" s="701"/>
      <c r="N44" s="701"/>
      <c r="O44" s="701"/>
      <c r="P44" s="702"/>
      <c r="Q44" s="696" t="s">
        <v>396</v>
      </c>
      <c r="R44" s="696"/>
      <c r="S44" s="696"/>
      <c r="T44" s="696"/>
      <c r="U44" s="696"/>
      <c r="V44" s="520" t="s">
        <v>1078</v>
      </c>
      <c r="W44" s="101" t="s">
        <v>2341</v>
      </c>
      <c r="X44" s="703" t="s">
        <v>2310</v>
      </c>
      <c r="Y44" s="704"/>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東京都</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加算様式を指定権者に提出</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○○サービスジギョウショ</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○○サービス事業所</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100-1234</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東京都千代田区霞が関1-2-2</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コウロウ　ハナコ</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厚労　花子</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03-3571-XXXX</v>
      </c>
      <c r="M13" s="959"/>
      <c r="N13" s="959"/>
      <c r="O13" s="959"/>
      <c r="P13" s="959"/>
      <c r="Q13" s="959"/>
      <c r="R13" s="959"/>
      <c r="S13" s="959"/>
      <c r="T13" s="959"/>
      <c r="U13" s="960"/>
      <c r="V13" s="961" t="s">
        <v>27</v>
      </c>
      <c r="W13" s="962"/>
      <c r="X13" s="962"/>
      <c r="Y13" s="957"/>
      <c r="Z13" s="958" t="str">
        <f>IF(基本情報入力シート!L32="","",基本情報入力シート!L32)</f>
        <v>aaa@aaa.aa.jp</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27794424</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v>0</v>
      </c>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27794424</v>
      </c>
      <c r="R19" s="837"/>
      <c r="S19" s="837"/>
      <c r="T19" s="837"/>
      <c r="U19" s="837"/>
      <c r="V19" s="838"/>
      <c r="W19" s="352" t="s">
        <v>50</v>
      </c>
      <c r="X19" s="52" t="s">
        <v>53</v>
      </c>
      <c r="Y19" s="839" t="str">
        <f>IF(H7="", "", IFERROR(IF(Q20&gt;=Q19,"○","×"),""))</f>
        <v>○</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5" customHeight="1" thickBot="1">
      <c r="A20" s="47"/>
      <c r="B20" s="353" t="s">
        <v>57</v>
      </c>
      <c r="C20" s="976" t="s">
        <v>2177</v>
      </c>
      <c r="D20" s="976"/>
      <c r="E20" s="976"/>
      <c r="F20" s="976"/>
      <c r="G20" s="976"/>
      <c r="H20" s="976"/>
      <c r="I20" s="976"/>
      <c r="J20" s="976"/>
      <c r="K20" s="976"/>
      <c r="L20" s="976"/>
      <c r="M20" s="976"/>
      <c r="N20" s="976"/>
      <c r="O20" s="976"/>
      <c r="P20" s="976"/>
      <c r="Q20" s="950">
        <v>27794424</v>
      </c>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15"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12008544</v>
      </c>
      <c r="U29" s="853"/>
      <c r="V29" s="853"/>
      <c r="W29" s="853"/>
      <c r="X29" s="853"/>
      <c r="Y29" s="854"/>
      <c r="Z29" s="352" t="s">
        <v>50</v>
      </c>
      <c r="AA29" s="94" t="s">
        <v>53</v>
      </c>
      <c r="AB29" s="839" t="str">
        <f>IF(H7="", "", IFERROR(IF(T30&gt;=T29,"○","×"),""))</f>
        <v>○</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v>12008544</v>
      </c>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149999999999999"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2440140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899999999999999"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v>2440140</v>
      </c>
      <c r="U38" s="951"/>
      <c r="V38" s="951"/>
      <c r="W38" s="951"/>
      <c r="X38" s="952"/>
      <c r="Y38" s="378" t="s">
        <v>50</v>
      </c>
      <c r="Z38" s="22"/>
      <c r="AA38" s="379" t="s">
        <v>72</v>
      </c>
      <c r="AB38" s="953">
        <f>IFERROR(T39/T37*100,0)</f>
        <v>66.666666666666657</v>
      </c>
      <c r="AC38" s="954"/>
      <c r="AD38" s="955"/>
      <c r="AE38" s="380" t="s">
        <v>73</v>
      </c>
      <c r="AF38" s="380" t="s">
        <v>74</v>
      </c>
      <c r="AG38" s="47" t="s">
        <v>53</v>
      </c>
      <c r="AH38" s="350" t="str">
        <f>IF(OR(T37=0, T37=""),"",(IF(AND(AB38&gt;=200/3, T38&gt;=T39),"○","×")))</f>
        <v>○</v>
      </c>
      <c r="AI38" s="360"/>
      <c r="AJ38" s="360"/>
      <c r="AK38" s="360"/>
      <c r="AL38" s="47"/>
      <c r="AM38" s="760" t="s">
        <v>75</v>
      </c>
      <c r="AN38" s="761"/>
      <c r="AO38" s="761"/>
      <c r="AP38" s="761"/>
      <c r="AQ38" s="761"/>
      <c r="AR38" s="761"/>
      <c r="AS38" s="761"/>
      <c r="AT38" s="761"/>
      <c r="AU38" s="761"/>
      <c r="AV38" s="761"/>
      <c r="AW38" s="761"/>
      <c r="AX38" s="761"/>
      <c r="AY38" s="762"/>
    </row>
    <row r="39" spans="1:56" ht="19.899999999999999" customHeight="1" thickBot="1">
      <c r="A39" s="47"/>
      <c r="B39" s="381"/>
      <c r="C39" s="933" t="s">
        <v>76</v>
      </c>
      <c r="D39" s="934"/>
      <c r="E39" s="934"/>
      <c r="F39" s="934"/>
      <c r="G39" s="934"/>
      <c r="H39" s="934"/>
      <c r="I39" s="934"/>
      <c r="J39" s="934"/>
      <c r="K39" s="934"/>
      <c r="L39" s="934"/>
      <c r="M39" s="934"/>
      <c r="N39" s="934"/>
      <c r="O39" s="934"/>
      <c r="P39" s="934"/>
      <c r="Q39" s="934"/>
      <c r="R39" s="934"/>
      <c r="S39" s="934"/>
      <c r="T39" s="937">
        <v>1626760</v>
      </c>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135563.33333333334</v>
      </c>
      <c r="V40" s="940"/>
      <c r="W40" s="940"/>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2</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2</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v>
      </c>
      <c r="AL59" s="47"/>
      <c r="AM59" s="47"/>
      <c r="AN59" s="47"/>
      <c r="AO59" s="47"/>
      <c r="AP59" s="47"/>
      <c r="AQ59" s="47"/>
      <c r="AR59" s="47"/>
      <c r="AS59" s="47"/>
      <c r="AT59" s="47"/>
      <c r="AU59" s="47"/>
      <c r="AV59" s="47"/>
      <c r="AW59" s="47"/>
      <c r="AX59" s="47"/>
      <c r="AY59" s="47"/>
      <c r="BA59" s="769">
        <f>COUNTIF('別紙様式2-2（処遇改善加算　個票）'!P:P, "処遇改善加算Ⅰ")</f>
        <v>2</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該当</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該当</v>
      </c>
      <c r="AJ68" s="946"/>
      <c r="AK68" s="947"/>
      <c r="AL68" s="48"/>
      <c r="AM68" s="48"/>
      <c r="AN68" s="48"/>
      <c r="AO68" s="47"/>
      <c r="AP68" s="48"/>
      <c r="AQ68" s="48"/>
      <c r="AR68" s="48"/>
      <c r="AS68" s="48"/>
      <c r="AT68" s="48"/>
      <c r="AU68" s="48"/>
      <c r="AV68" s="48"/>
      <c r="AW68" s="48"/>
      <c r="AX68" s="48"/>
      <c r="AY68" s="48"/>
    </row>
    <row r="69" spans="1:53" ht="43.9"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！この区分（４項目）から２つ以上の取組が選択されていません。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9"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！この区分（４項目）から２つ以上の取組が選択されていません。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！この区分（５項目）から２つ以上の取組が選択されていません。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5"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15" customHeight="1">
      <c r="A82" s="47"/>
      <c r="B82" s="770"/>
      <c r="C82" s="771"/>
      <c r="D82" s="771"/>
      <c r="E82" s="740"/>
      <c r="F82" s="741"/>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！この区分（４項目）から２つ以上の取組が選択されていません。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15"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5"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！⑱の取組は必須です。</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！この区分（７項目）から３つ以上の取組が選択されていません。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9"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15"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！この区分（４項目）から２つ以上の取組が選択されていません。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t="s">
        <v>2355</v>
      </c>
      <c r="F124" s="892"/>
      <c r="G124" s="32" t="s">
        <v>142</v>
      </c>
      <c r="H124" s="891" t="s">
        <v>2355</v>
      </c>
      <c r="I124" s="892"/>
      <c r="J124" s="32" t="s">
        <v>143</v>
      </c>
      <c r="K124" s="891" t="s">
        <v>2355</v>
      </c>
      <c r="L124" s="892"/>
      <c r="M124" s="32" t="s">
        <v>144</v>
      </c>
      <c r="N124" s="27"/>
      <c r="O124" s="893" t="s">
        <v>42</v>
      </c>
      <c r="P124" s="893"/>
      <c r="Q124" s="893"/>
      <c r="R124" s="794" t="str">
        <f>IF(H7="","",H7)</f>
        <v>○○サービス事業所</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代表取締役</v>
      </c>
      <c r="U125" s="801"/>
      <c r="V125" s="801"/>
      <c r="W125" s="801"/>
      <c r="X125" s="801"/>
      <c r="Y125" s="800" t="s">
        <v>22</v>
      </c>
      <c r="Z125" s="800"/>
      <c r="AA125" s="801" t="str">
        <f>IF(基本情報入力シート!L27="", "", 基本情報入力シート!L27)</f>
        <v>厚労　太郎</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加算様式を指定権者に提出</v>
      </c>
      <c r="AP2" s="742"/>
      <c r="AQ2" s="742"/>
      <c r="AR2" s="742"/>
      <c r="AS2" s="742"/>
      <c r="BC2" s="270"/>
      <c r="BD2"/>
      <c r="BE2"/>
      <c r="BF2"/>
      <c r="BG2"/>
    </row>
    <row r="3" spans="1:60" ht="27" customHeight="1" thickBot="1">
      <c r="A3" s="1047" t="s">
        <v>42</v>
      </c>
      <c r="B3" s="1047"/>
      <c r="C3" s="1048"/>
      <c r="D3" s="1049" t="str">
        <f>IF(基本情報入力シート!L22="","",基本情報入力シート!L22)</f>
        <v>○○サービス事業所</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27794424</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2</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12008544</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2</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2440140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9"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v>
      </c>
      <c r="AF9" s="1110"/>
      <c r="AG9" s="1111" t="str">
        <f>IF(D3="", "", IFERROR(IF(COUNTIF(AR:AR,"未入力")=0,"○","×"),""))</f>
        <v>○</v>
      </c>
      <c r="AH9" s="111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1314567891</v>
      </c>
      <c r="C12" s="1114"/>
      <c r="D12" s="1114"/>
      <c r="E12" s="1114"/>
      <c r="F12" s="1114"/>
      <c r="G12" s="1119" t="str">
        <f>IF(基本情報入力シート!L39="", "", 基本情報入力シート!L39)</f>
        <v>東京都</v>
      </c>
      <c r="H12" s="1119" t="str">
        <f>IF(基本情報入力シート!Q39="", "", 基本情報入力シート!Q39)</f>
        <v>東京都</v>
      </c>
      <c r="I12" s="1119" t="str">
        <f>IF(基本情報入力シート!V39="", "", 基本情報入力シート!V39)</f>
        <v>三鷹市</v>
      </c>
      <c r="J12" s="1119" t="str">
        <f>IF(基本情報入力シート!W39="", "", 基本情報入力シート!W39)</f>
        <v>障害福祉事業所名称０１</v>
      </c>
      <c r="K12" s="1119" t="str">
        <f>IF(基本情報入力シート!X39="", "", 基本情報入力シート!X39)</f>
        <v>居宅介護</v>
      </c>
      <c r="L12" s="1041">
        <f>IF(基本情報入力シート!AC39=0, "",基本情報入力シート!AC39)</f>
        <v>361460</v>
      </c>
      <c r="M12" s="1057"/>
      <c r="N12" s="1029" t="s">
        <v>216</v>
      </c>
      <c r="O12" s="1032">
        <f>IFERROR(VLOOKUP(K12,【参考】数式用２!$A$2:$AD$50,MATCH(N12,【参考】数式用２!$C$4:$AD$4,0)+2,0),"")</f>
        <v>0.41700000000000004</v>
      </c>
      <c r="P12" s="980" t="s">
        <v>216</v>
      </c>
      <c r="Q12" s="993">
        <f>IFERROR(VLOOKUP(K12,【参考】数式用２!$A$2:$AC$50,MATCH(P12,【参考】数式用２!$C$4:$AC$4,0)+2,0),"")</f>
        <v>0.41700000000000004</v>
      </c>
      <c r="R12" s="996" t="s">
        <v>141</v>
      </c>
      <c r="S12" s="984">
        <v>7</v>
      </c>
      <c r="T12" s="987" t="s">
        <v>217</v>
      </c>
      <c r="U12" s="984">
        <v>4</v>
      </c>
      <c r="V12" s="987" t="s">
        <v>218</v>
      </c>
      <c r="W12" s="984">
        <v>8</v>
      </c>
      <c r="X12" s="987" t="s">
        <v>217</v>
      </c>
      <c r="Y12" s="984">
        <v>3</v>
      </c>
      <c r="Z12" s="987" t="s">
        <v>219</v>
      </c>
      <c r="AA12" s="987" t="s">
        <v>72</v>
      </c>
      <c r="AB12" s="987">
        <f>IF(S12&gt;=1,(W12*12+Y12)-(S12*12+U12)+1,"")</f>
        <v>12</v>
      </c>
      <c r="AC12" s="1011" t="s">
        <v>220</v>
      </c>
      <c r="AD12" s="990">
        <f>IFERROR(ROUNDDOWN(ROUND(L12*Q12,0),0)*AB12,"")</f>
        <v>1808748</v>
      </c>
      <c r="AE12" s="1014">
        <f>IFERROR(ROUNDDOWN(ROUNDDOWN(ROUND(L12*VLOOKUP(K12,【参考】数式用２!$A$2:$AC$50,MATCH("処遇改善加算Ⅳ",【参考】数式用２!$C$4:$O$4,0)+2,0),0),0)*AB12*0.5,0), "")</f>
        <v>592074</v>
      </c>
      <c r="AF12" s="999" t="s">
        <v>2339</v>
      </c>
      <c r="AG12" s="990" t="str">
        <f>IF(AND(AQ12&lt;&gt;"対象外", P12&lt;&gt;""),ROUNDDOWN(ROUND(L12*VLOOKUP(K12,【参考】数式用２!$A$2:$K$50,MATCH("ベア加算あり",【参考】数式用２!$C$4:$K$4,0)+2,0),0),0)*AB12,"")</f>
        <v/>
      </c>
      <c r="AH12" s="1008"/>
      <c r="AI12" s="999" t="s">
        <v>2339</v>
      </c>
      <c r="AJ12" s="999" t="s">
        <v>2339</v>
      </c>
      <c r="AK12" s="1002">
        <v>1</v>
      </c>
      <c r="AL12" s="1005" t="s">
        <v>2285</v>
      </c>
      <c r="AM12" s="572" t="str">
        <f>IF(Q12="","",IF(Q12&lt;O12,"！加算の要件上は問題ありませんが、令和６年度末の加算率と比較して、令和７年度の加算率が低くなっています。",""))</f>
        <v/>
      </c>
      <c r="AN12" s="326"/>
      <c r="AO12" s="1019" t="str">
        <f>IF(K12&lt;&gt;"","Q列に色付け","")</f>
        <v>Q列に色付け</v>
      </c>
      <c r="AP12" s="983" t="str">
        <f>IF(AND(AE12&lt;&gt;0,AE12&lt;&gt;""),IF(AF12="○","入力済","未入力"),"")</f>
        <v>入力済</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対象</v>
      </c>
      <c r="AV12" s="742">
        <f>IF(AND(P12&lt;&gt;"処遇改善加算Ⅲ",P12&lt;&gt;"処遇改善加算Ⅳ", P12&lt;&gt;"", AU12&lt;&gt;"対象外"), 1,"")</f>
        <v>1</v>
      </c>
      <c r="AW12" s="742" t="str">
        <f>IFERROR("_"&amp;VLOOKUP(K12, 【参考】数式用２!$AG$2:$AH$39,2, FALSE), "")</f>
        <v>_11</v>
      </c>
      <c r="AX12" s="1023" t="str">
        <f>IF(AND(P12="処遇改善加算Ⅰ", AL12=""), "未入力","入力済")</f>
        <v>入力済</v>
      </c>
      <c r="AY12" s="1020" t="str">
        <f>G12</f>
        <v>東京都</v>
      </c>
      <c r="AZ12"/>
      <c r="BA12"/>
      <c r="BB12"/>
      <c r="BC12"/>
      <c r="BD12"/>
      <c r="BE12"/>
      <c r="BF12"/>
      <c r="BG12" s="328"/>
    </row>
    <row r="13" spans="1:60" ht="14.45"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1314567892</v>
      </c>
      <c r="C16" s="1036"/>
      <c r="D16" s="1036"/>
      <c r="E16" s="1036"/>
      <c r="F16" s="1036"/>
      <c r="G16" s="1036" t="str">
        <f>IF(基本情報入力シート!L40="", "",基本情報入力シート!L40)</f>
        <v>東京都</v>
      </c>
      <c r="H16" s="1036" t="str">
        <f>IF(基本情報入力シート!Q40="", "",基本情報入力シート!Q40)</f>
        <v>東京都</v>
      </c>
      <c r="I16" s="1036" t="str">
        <f>IF(基本情報入力シート!V40="", "",基本情報入力シート!V40)</f>
        <v>府中市</v>
      </c>
      <c r="J16" s="1036" t="str">
        <f>IF(基本情報入力シート!W40="", "",基本情報入力シート!W40)</f>
        <v>障害福祉事業所名称０２</v>
      </c>
      <c r="K16" s="1036" t="str">
        <f>IF(基本情報入力シート!X40="", "",基本情報入力シート!X40)</f>
        <v>生活介護</v>
      </c>
      <c r="L16" s="1041">
        <f>IF(基本情報入力シート!AC40=0, "",基本情報入力シート!AC40)</f>
        <v>4479300</v>
      </c>
      <c r="M16" s="1056"/>
      <c r="N16" s="1029" t="s">
        <v>224</v>
      </c>
      <c r="O16" s="1032">
        <f>IFERROR(VLOOKUP(K16,【参考】数式用２!$A$2:$AD$50,MATCH(N16,【参考】数式用２!$C$4:$AD$4,0)+2,0),"")</f>
        <v>5.4999999999999993E-2</v>
      </c>
      <c r="P16" s="980" t="s">
        <v>224</v>
      </c>
      <c r="Q16" s="993">
        <f>IFERROR(VLOOKUP(K16,【参考】数式用２!$A$2:$AC$50,MATCH(P16,【参考】数式用２!$C$4:$AC$4,0)+2,0),"")</f>
        <v>5.4999999999999993E-2</v>
      </c>
      <c r="R16" s="996" t="s">
        <v>141</v>
      </c>
      <c r="S16" s="984">
        <v>7</v>
      </c>
      <c r="T16" s="987" t="s">
        <v>217</v>
      </c>
      <c r="U16" s="984">
        <v>4</v>
      </c>
      <c r="V16" s="987" t="s">
        <v>218</v>
      </c>
      <c r="W16" s="984">
        <v>8</v>
      </c>
      <c r="X16" s="987" t="s">
        <v>217</v>
      </c>
      <c r="Y16" s="984">
        <v>3</v>
      </c>
      <c r="Z16" s="987" t="s">
        <v>219</v>
      </c>
      <c r="AA16" s="987" t="s">
        <v>72</v>
      </c>
      <c r="AB16" s="987">
        <f>IF(S16&gt;=1,(W16*12+Y16)-(S16*12+U16)+1,"")</f>
        <v>12</v>
      </c>
      <c r="AC16" s="1011" t="s">
        <v>220</v>
      </c>
      <c r="AD16" s="990">
        <f>IFERROR(ROUNDDOWN(ROUND(L16*Q16,0),0)*AB16,"")</f>
        <v>2956344</v>
      </c>
      <c r="AE16" s="1014">
        <f>IFERROR(ROUNDDOWN(ROUNDDOWN(ROUND(L16*VLOOKUP(K16,【参考】数式用２!$A$2:$AC$50,MATCH("処遇改善加算Ⅳ",【参考】数式用２!$C$4:$O$4,0)+2,0),0),0)*AB16*0.5,0), "")</f>
        <v>1478172</v>
      </c>
      <c r="AF16" s="999" t="s">
        <v>2339</v>
      </c>
      <c r="AG16" s="990" t="str">
        <f>IF(AND(AQ16&lt;&gt;"対象外", P16&lt;&gt;""),ROUNDDOWN(ROUND(L16*VLOOKUP(K16,【参考】数式用２!$A$2:$K$50,MATCH("ベア加算あり",【参考】数式用２!$C$4:$K$4,0)+2,0),0),0)*AB16,"")</f>
        <v/>
      </c>
      <c r="AH16" s="1008"/>
      <c r="AI16" s="999" t="s">
        <v>2339</v>
      </c>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Q列に色付け</v>
      </c>
      <c r="AP16" s="983" t="str">
        <f>IF(AND(AE16&lt;&gt;0,AE16&lt;&gt;""),IF(AF16="○","入力済","未入力"),"")</f>
        <v>入力済</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対象</v>
      </c>
      <c r="AV16" s="742" t="str">
        <f>IF(AND(P16&lt;&gt;"処遇改善加算Ⅲ",P16&lt;&gt;"処遇改善加算Ⅳ", P16&lt;&gt;"", AU16&lt;&gt;"対象外"), 1,"")</f>
        <v/>
      </c>
      <c r="AW16" s="742" t="str">
        <f>IFERROR("_"&amp;VLOOKUP(K16, 【参考】数式用２!$AG$2:$AH$50, 2, FALSE), "")</f>
        <v>_22</v>
      </c>
      <c r="AX16" s="1023" t="str">
        <f>IF(AND(P16="処遇改善加算Ⅰ", AL16=""), "未入力","入力済")</f>
        <v>入力済</v>
      </c>
      <c r="AY16" s="1019" t="str">
        <f>G16</f>
        <v>東京都</v>
      </c>
      <c r="AZ16"/>
      <c r="BA16"/>
      <c r="BB16"/>
      <c r="BC16"/>
      <c r="BD16"/>
      <c r="BE16"/>
      <c r="BF16"/>
      <c r="BG16"/>
    </row>
    <row r="17" spans="1:59" ht="14.45"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5"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1314567893</v>
      </c>
      <c r="C20" s="1036"/>
      <c r="D20" s="1036"/>
      <c r="E20" s="1036"/>
      <c r="F20" s="1036"/>
      <c r="G20" s="1036" t="str">
        <f>IF(基本情報入力シート!L41="", "",基本情報入力シート!L41)</f>
        <v>東京都</v>
      </c>
      <c r="H20" s="1036" t="str">
        <f>IF(基本情報入力シート!Q41="", "",基本情報入力シート!Q41)</f>
        <v>東京都</v>
      </c>
      <c r="I20" s="1036" t="str">
        <f>IF(基本情報入力シート!V41="", "",基本情報入力シート!V41)</f>
        <v>小金井市</v>
      </c>
      <c r="J20" s="1036" t="str">
        <f>IF(基本情報入力シート!W41="", "",基本情報入力シート!W41)</f>
        <v>障害福祉事業所名称０３</v>
      </c>
      <c r="K20" s="1036" t="str">
        <f>IF(基本情報入力シート!X41="", "",基本情報入力シート!X41)</f>
        <v>就労継続支援Ｂ型</v>
      </c>
      <c r="L20" s="1041">
        <f>IF(基本情報入力シート!AC41=0, "",基本情報入力シート!AC41)</f>
        <v>2296530</v>
      </c>
      <c r="M20" s="1044"/>
      <c r="N20" s="1029" t="s">
        <v>238</v>
      </c>
      <c r="O20" s="1032">
        <f>IFERROR(VLOOKUP(K20,【参考】数式用２!$A$2:$AD$50,MATCH(N20,【参考】数式用２!$C$4:$AD$4,0)+2,0),"")</f>
        <v>3.1E-2</v>
      </c>
      <c r="P20" s="980" t="s">
        <v>224</v>
      </c>
      <c r="Q20" s="993">
        <f>IFERROR(VLOOKUP(K20,【参考】数式用２!$A$2:$AC$50,MATCH(P20,【参考】数式用２!$C$4:$AC$4,0)+2,0),"")</f>
        <v>6.2E-2</v>
      </c>
      <c r="R20" s="996" t="s">
        <v>141</v>
      </c>
      <c r="S20" s="984">
        <v>7</v>
      </c>
      <c r="T20" s="987" t="s">
        <v>217</v>
      </c>
      <c r="U20" s="984">
        <v>4</v>
      </c>
      <c r="V20" s="987" t="s">
        <v>218</v>
      </c>
      <c r="W20" s="984">
        <v>8</v>
      </c>
      <c r="X20" s="987" t="s">
        <v>217</v>
      </c>
      <c r="Y20" s="984">
        <v>3</v>
      </c>
      <c r="Z20" s="987" t="s">
        <v>219</v>
      </c>
      <c r="AA20" s="987" t="s">
        <v>72</v>
      </c>
      <c r="AB20" s="987">
        <f>IF(S20&gt;=1,(W20*12+Y20)-(S20*12+U20)+1,"")</f>
        <v>12</v>
      </c>
      <c r="AC20" s="1011" t="s">
        <v>220</v>
      </c>
      <c r="AD20" s="990">
        <f>IFERROR(ROUNDDOWN(ROUND(L20*Q20,0),0)*AB20,"")</f>
        <v>1708620</v>
      </c>
      <c r="AE20" s="1014">
        <f>IFERROR(ROUNDDOWN(ROUNDDOWN(ROUND(L20*VLOOKUP(K20,【参考】数式用２!$A$2:$AC$50,MATCH("処遇改善加算Ⅳ",【参考】数式用２!$C$4:$O$4,0)+2,0),0),0)*AB20*0.5,0), "")</f>
        <v>854310</v>
      </c>
      <c r="AF20" s="999" t="s">
        <v>2339</v>
      </c>
      <c r="AG20" s="990">
        <f>IF(AND(AQ20&lt;&gt;"対象外", P20&lt;&gt;""),ROUNDDOWN(ROUND(L20*VLOOKUP(K20,【参考】数式用２!$A$2:$K$50,MATCH("ベア加算あり",【参考】数式用２!$C$4:$K$4,0)+2,0),0),0)*AB20,"")</f>
        <v>358260</v>
      </c>
      <c r="AH20" s="1008" t="s">
        <v>2339</v>
      </c>
      <c r="AI20" s="999" t="s">
        <v>221</v>
      </c>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Q列に色付け</v>
      </c>
      <c r="AP20" s="983" t="str">
        <f>IF(AND(AE20&lt;&gt;0,AE20&lt;&gt;""),IF(AF20="○","入力済","未入力"),"")</f>
        <v>入力済</v>
      </c>
      <c r="AQ20" s="743" t="str">
        <f>IFERROR((VLOOKUP(N20, 【参考】数式用２!$BE$5:$BE$13, 1,FALSE)), "対象外")</f>
        <v>処遇改善加算Ⅴ（14）</v>
      </c>
      <c r="AR20" s="742" t="str">
        <f>IF(AG20&lt;&gt;"",IF(AH20="○","入力済","未入力"),"")</f>
        <v>入力済</v>
      </c>
      <c r="AS20" s="742" t="str">
        <f>IF(AND(P20&lt;&gt;"", AI20=""), "未入力", "入力済")</f>
        <v>入力済</v>
      </c>
      <c r="AT20" s="742" t="str">
        <f>IF(AND(P20&lt;&gt;"", P20&lt;&gt;"処遇改善加算Ⅳ", AJ20=""), "未入力", "入力済")</f>
        <v>入力済</v>
      </c>
      <c r="AU20" s="742" t="str">
        <f>IFERROR(VLOOKUP(K20, 【参考】数式用２!$BB$5:$BC$50, 2, FALSE), "")</f>
        <v>対象</v>
      </c>
      <c r="AV20" s="742" t="str">
        <f>IF(AND(P20&lt;&gt;"処遇改善加算Ⅲ",P20&lt;&gt;"処遇改善加算Ⅳ", P20&lt;&gt;"", AU20&lt;&gt;"対象外"), 1,"")</f>
        <v/>
      </c>
      <c r="AW20" s="742" t="str">
        <f>IFERROR("_"&amp;VLOOKUP(K20, 【参考】数式用２!$AG$2:$AH$50, 2, FALSE), "")</f>
        <v>_46</v>
      </c>
      <c r="AX20" s="1023" t="str">
        <f>IF(AND(P20="処遇改善加算Ⅰ", AL20=""), "未入力","入力済")</f>
        <v>入力済</v>
      </c>
      <c r="AY20" s="1019" t="str">
        <f>G20</f>
        <v>東京都</v>
      </c>
      <c r="AZ20"/>
      <c r="BA20"/>
      <c r="BB20"/>
      <c r="BC20"/>
      <c r="BD20"/>
      <c r="BE20"/>
      <c r="BF20"/>
      <c r="BG20"/>
    </row>
    <row r="21" spans="1:59" ht="14.45"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5"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1314567894</v>
      </c>
      <c r="C24" s="1036"/>
      <c r="D24" s="1036"/>
      <c r="E24" s="1036"/>
      <c r="F24" s="1036"/>
      <c r="G24" s="1036" t="str">
        <f>IF(基本情報入力シート!L42="", "",基本情報入力シート!L42)</f>
        <v>東京都</v>
      </c>
      <c r="H24" s="1036" t="str">
        <f>IF(基本情報入力シート!Q42="", "",基本情報入力シート!Q42)</f>
        <v>東京都</v>
      </c>
      <c r="I24" s="1036" t="str">
        <f>IF(基本情報入力シート!V42="", "",基本情報入力シート!V42)</f>
        <v>八王子市</v>
      </c>
      <c r="J24" s="1036" t="str">
        <f>IF(基本情報入力シート!W42="", "",基本情報入力シート!W42)</f>
        <v>障害福祉事業所名称０４</v>
      </c>
      <c r="K24" s="1036" t="str">
        <f>IF(基本情報入力シート!X42="", "",基本情報入力シート!X42)</f>
        <v>施設入所支援</v>
      </c>
      <c r="L24" s="1041">
        <f>IF(基本情報入力シート!AC42=0, "",基本情報入力シート!AC42)</f>
        <v>5971100</v>
      </c>
      <c r="M24" s="1044"/>
      <c r="N24" s="1029" t="s">
        <v>225</v>
      </c>
      <c r="O24" s="1032">
        <f>IFERROR(VLOOKUP(K24,【参考】数式用２!$A$2:$AD$50,MATCH(N24,【参考】数式用２!$C$4:$AD$4,0)+2,0),"")</f>
        <v>0.13100000000000001</v>
      </c>
      <c r="P24" s="980" t="s">
        <v>216</v>
      </c>
      <c r="Q24" s="993">
        <f>IFERROR(VLOOKUP(K24,【参考】数式用２!$A$2:$AC$50,MATCH(P24,【参考】数式用２!$C$4:$AC$4,0)+2,0),"")</f>
        <v>0.159</v>
      </c>
      <c r="R24" s="996" t="s">
        <v>141</v>
      </c>
      <c r="S24" s="984">
        <v>7</v>
      </c>
      <c r="T24" s="987" t="s">
        <v>217</v>
      </c>
      <c r="U24" s="984">
        <v>4</v>
      </c>
      <c r="V24" s="987" t="s">
        <v>218</v>
      </c>
      <c r="W24" s="984">
        <v>8</v>
      </c>
      <c r="X24" s="987" t="s">
        <v>217</v>
      </c>
      <c r="Y24" s="984">
        <v>3</v>
      </c>
      <c r="Z24" s="987" t="s">
        <v>219</v>
      </c>
      <c r="AA24" s="987" t="s">
        <v>72</v>
      </c>
      <c r="AB24" s="987">
        <f>IF(S24&gt;=1,(W24*12+Y24)-(S24*12+U24)+1,"")</f>
        <v>12</v>
      </c>
      <c r="AC24" s="1011" t="s">
        <v>220</v>
      </c>
      <c r="AD24" s="990">
        <f>IFERROR(ROUNDDOWN(ROUND(L24*Q24,0),0)*AB24,"")</f>
        <v>11392860</v>
      </c>
      <c r="AE24" s="1014">
        <f>IFERROR(ROUNDDOWN(ROUNDDOWN(ROUND(L24*VLOOKUP(K24,【参考】数式用２!$A$2:$AC$50,MATCH("処遇改善加算Ⅳ",【参考】数式用２!$C$4:$O$4,0)+2,0),0),0)*AB24*0.5,0), "")</f>
        <v>4120062</v>
      </c>
      <c r="AF24" s="999" t="s">
        <v>2339</v>
      </c>
      <c r="AG24" s="990">
        <f>IF(AND(AQ24&lt;&gt;"対象外", P24&lt;&gt;""),ROUNDDOWN(ROUND(L24*VLOOKUP(K24,【参考】数式用２!$A$2:$K$50,MATCH("ベア加算あり",【参考】数式用２!$C$4:$K$4,0)+2,0),0),0)*AB24,"")</f>
        <v>2006292</v>
      </c>
      <c r="AH24" s="1008" t="s">
        <v>2339</v>
      </c>
      <c r="AI24" s="999" t="s">
        <v>221</v>
      </c>
      <c r="AJ24" s="999" t="s">
        <v>2339</v>
      </c>
      <c r="AK24" s="1002">
        <v>1</v>
      </c>
      <c r="AL24" s="1005" t="s">
        <v>2287</v>
      </c>
      <c r="AM24" s="572" t="str">
        <f t="shared" ref="AM24" si="6">IF(Q24="","",IF(Q24&lt;O24,"！加算の要件上は問題ありませんが、令和６年度末の加算率と比較して、令和７年度の加算率が低くなっています。",""))</f>
        <v/>
      </c>
      <c r="AN24" s="326"/>
      <c r="AO24" s="1019" t="str">
        <f>IF(K24&lt;&gt;"","Q列に色付け","")</f>
        <v>Q列に色付け</v>
      </c>
      <c r="AP24" s="983" t="str">
        <f>IF(AND(AE24&lt;&gt;0,AE24&lt;&gt;""),IF(AF24="○","入力済","未入力"),"")</f>
        <v>入力済</v>
      </c>
      <c r="AQ24" s="743" t="str">
        <f>IFERROR((VLOOKUP(N24, 【参考】数式用２!$BE$5:$BE$13, 1,FALSE)), "対象外")</f>
        <v>処遇改善加算Ⅴ（１）</v>
      </c>
      <c r="AR24" s="742" t="str">
        <f>IF(AG24&lt;&gt;"",IF(AH24="○","入力済","未入力"),"")</f>
        <v>入力済</v>
      </c>
      <c r="AS24" s="742" t="str">
        <f>IF(AND(P24&lt;&gt;"", AI24=""), "未入力", "入力済")</f>
        <v>入力済</v>
      </c>
      <c r="AT24" s="742" t="str">
        <f>IF(AND(P24&lt;&gt;"", P24&lt;&gt;"処遇改善加算Ⅳ", AJ24=""), "未入力", "入力済")</f>
        <v>入力済</v>
      </c>
      <c r="AU24" s="742" t="str">
        <f>IFERROR(VLOOKUP(K24, 【参考】数式用２!$BB$5:$BC$50, 2, FALSE), "")</f>
        <v>対象</v>
      </c>
      <c r="AV24" s="742">
        <f>IF(AND(P24&lt;&gt;"処遇改善加算Ⅲ",P24&lt;&gt;"処遇改善加算Ⅳ", P24&lt;&gt;"", AU24&lt;&gt;"対象外"), 1,"")</f>
        <v>1</v>
      </c>
      <c r="AW24" s="742" t="str">
        <f>IFERROR("_"&amp;VLOOKUP(K24, 【参考】数式用２!$AG$2:$AH$50, 2, FALSE), "")</f>
        <v>_32</v>
      </c>
      <c r="AX24" s="1023" t="str">
        <f>IF(AND(P24="処遇改善加算Ⅰ", AL24=""), "未入力","入力済")</f>
        <v>入力済</v>
      </c>
      <c r="AY24" s="1019" t="str">
        <f>G24</f>
        <v>東京都</v>
      </c>
      <c r="AZ24"/>
      <c r="BA24"/>
      <c r="BB24"/>
      <c r="BC24"/>
      <c r="BD24"/>
      <c r="BE24"/>
      <c r="BF24"/>
      <c r="BG24"/>
    </row>
    <row r="25" spans="1:59" ht="14.45"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5"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1314567895</v>
      </c>
      <c r="C28" s="1036"/>
      <c r="D28" s="1036"/>
      <c r="E28" s="1036"/>
      <c r="F28" s="1036"/>
      <c r="G28" s="1036" t="str">
        <f>IF(基本情報入力シート!L43="", "",基本情報入力シート!L43)</f>
        <v>東京都</v>
      </c>
      <c r="H28" s="1036" t="str">
        <f>IF(基本情報入力シート!Q43="", "",基本情報入力シート!Q43)</f>
        <v>東京都</v>
      </c>
      <c r="I28" s="1036" t="str">
        <f>IF(基本情報入力シート!V43="", "",基本情報入力シート!V43)</f>
        <v>八王子市</v>
      </c>
      <c r="J28" s="1036" t="str">
        <f>IF(基本情報入力シート!W43="", "",基本情報入力シート!W43)</f>
        <v>障害福祉事業所名称０５</v>
      </c>
      <c r="K28" s="1036" t="str">
        <f>IF(基本情報入力シート!X43="", "",基本情報入力シート!X43)</f>
        <v>障害者支援施設：生活介護</v>
      </c>
      <c r="L28" s="1041">
        <f>IF(基本情報入力シート!AC43=0, "",基本情報入力シート!AC43)</f>
        <v>11849100</v>
      </c>
      <c r="M28" s="1044"/>
      <c r="N28" s="1029" t="s">
        <v>224</v>
      </c>
      <c r="O28" s="1032">
        <f>IFERROR(VLOOKUP(K28,【参考】数式用２!$A$2:$AD$50,MATCH(N28,【参考】数式用２!$C$4:$AD$4,0)+2,0),"")</f>
        <v>6.7000000000000004E-2</v>
      </c>
      <c r="P28" s="980" t="s">
        <v>224</v>
      </c>
      <c r="Q28" s="993">
        <f>IFERROR(VLOOKUP(K28,【参考】数式用２!$A$2:$AC$50,MATCH(P28,【参考】数式用２!$C$4:$AC$4,0)+2,0),"")</f>
        <v>6.7000000000000004E-2</v>
      </c>
      <c r="R28" s="996" t="s">
        <v>141</v>
      </c>
      <c r="S28" s="984">
        <v>7</v>
      </c>
      <c r="T28" s="987" t="s">
        <v>217</v>
      </c>
      <c r="U28" s="984">
        <v>4</v>
      </c>
      <c r="V28" s="987" t="s">
        <v>218</v>
      </c>
      <c r="W28" s="984">
        <v>8</v>
      </c>
      <c r="X28" s="987" t="s">
        <v>217</v>
      </c>
      <c r="Y28" s="984">
        <v>3</v>
      </c>
      <c r="Z28" s="987" t="s">
        <v>219</v>
      </c>
      <c r="AA28" s="987" t="s">
        <v>72</v>
      </c>
      <c r="AB28" s="987">
        <f>IF(S28&gt;=1,(W28*12+Y28)-(S28*12+U28)+1,"")</f>
        <v>12</v>
      </c>
      <c r="AC28" s="1011" t="s">
        <v>220</v>
      </c>
      <c r="AD28" s="990">
        <f>IFERROR(ROUNDDOWN(ROUND(L28*Q28,0),0)*AB28,"")</f>
        <v>9526680</v>
      </c>
      <c r="AE28" s="1014">
        <f>IFERROR(ROUNDDOWN(ROUNDDOWN(ROUND(L28*VLOOKUP(K28,【参考】数式用２!$A$2:$AC$50,MATCH("処遇改善加算Ⅳ",【参考】数式用２!$C$4:$O$4,0)+2,0),0),0)*AB28*0.5,0), "")</f>
        <v>4763340</v>
      </c>
      <c r="AF28" s="999" t="s">
        <v>2339</v>
      </c>
      <c r="AG28" s="990" t="str">
        <f>IF(AND(AQ28&lt;&gt;"対象外", P28&lt;&gt;""),ROUNDDOWN(ROUND(L28*VLOOKUP(K28,【参考】数式用２!$A$2:$K$50,MATCH("ベア加算あり",【参考】数式用２!$C$4:$K$4,0)+2,0),0),0)*AB28,"")</f>
        <v/>
      </c>
      <c r="AH28" s="1008"/>
      <c r="AI28" s="999" t="s">
        <v>2339</v>
      </c>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Q列に色付け</v>
      </c>
      <c r="AP28" s="983" t="str">
        <f>IF(AND(AE28&lt;&gt;0,AE28&lt;&gt;""),IF(AF28="○","入力済","未入力"),"")</f>
        <v>入力済</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対象</v>
      </c>
      <c r="AV28" s="742" t="str">
        <f>IF(AND(P28&lt;&gt;"処遇改善加算Ⅲ",P28&lt;&gt;"処遇改善加算Ⅳ", P28&lt;&gt;"", AU28&lt;&gt;"対象外"), 1,"")</f>
        <v/>
      </c>
      <c r="AW28" s="742" t="str">
        <f>IFERROR("_"&amp;VLOOKUP(K28, 【参考】数式用２!$AG$2:$AH$50, 2, FALSE), "")</f>
        <v>__22</v>
      </c>
      <c r="AX28" s="1023" t="str">
        <f>IF(AND(P28="処遇改善加算Ⅰ", AL28=""), "未入力","入力済")</f>
        <v>入力済</v>
      </c>
      <c r="AY28" s="1019" t="str">
        <f>G28</f>
        <v>東京都</v>
      </c>
      <c r="AZ28"/>
      <c r="BA28"/>
      <c r="BB28"/>
      <c r="BC28"/>
      <c r="BD28"/>
      <c r="BE28"/>
      <c r="BF28"/>
      <c r="BG28"/>
    </row>
    <row r="29" spans="1:59" ht="14.45"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5"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1314567896</v>
      </c>
      <c r="C32" s="1125"/>
      <c r="D32" s="1125"/>
      <c r="E32" s="1125"/>
      <c r="F32" s="1125"/>
      <c r="G32" s="1125" t="str">
        <f>IF(基本情報入力シート!L44="", "",基本情報入力シート!L44)</f>
        <v>東京都</v>
      </c>
      <c r="H32" s="1125" t="str">
        <f>IF(基本情報入力シート!Q44="", "",基本情報入力シート!Q44)</f>
        <v>東京都</v>
      </c>
      <c r="I32" s="1125" t="str">
        <f>IF(基本情報入力シート!V44="", "",基本情報入力シート!V44)</f>
        <v>調布市</v>
      </c>
      <c r="J32" s="1125" t="str">
        <f>IF(基本情報入力シート!W44="", "",基本情報入力シート!W44)</f>
        <v>障害福祉事業所名称０６</v>
      </c>
      <c r="K32" s="1125" t="str">
        <f>IF(基本情報入力シート!X44="", "",基本情報入力シート!X44)</f>
        <v>就労移行支援（養成施設）</v>
      </c>
      <c r="L32" s="1041">
        <f>IF(基本情報入力シート!AC44=0, "",基本情報入力シート!AC44)</f>
        <v>484500</v>
      </c>
      <c r="M32" s="1044"/>
      <c r="N32" s="1029" t="s">
        <v>238</v>
      </c>
      <c r="O32" s="1032">
        <f>IFERROR(VLOOKUP(K32,【参考】数式用２!$A$2:$AD$50,MATCH(N32,【参考】数式用２!$C$4:$AD$4,0)+2,0),"")</f>
        <v>3.4999999999999996E-2</v>
      </c>
      <c r="P32" s="980" t="s">
        <v>224</v>
      </c>
      <c r="Q32" s="993">
        <f>IFERROR(VLOOKUP(K32,【参考】数式用２!$A$2:$AC$50,MATCH(P32,【参考】数式用２!$C$4:$AC$4,0)+2,0),"")</f>
        <v>6.8999999999999992E-2</v>
      </c>
      <c r="R32" s="996" t="s">
        <v>141</v>
      </c>
      <c r="S32" s="984">
        <v>7</v>
      </c>
      <c r="T32" s="987" t="s">
        <v>217</v>
      </c>
      <c r="U32" s="984">
        <v>4</v>
      </c>
      <c r="V32" s="987" t="s">
        <v>218</v>
      </c>
      <c r="W32" s="984">
        <v>8</v>
      </c>
      <c r="X32" s="987" t="s">
        <v>217</v>
      </c>
      <c r="Y32" s="984">
        <v>3</v>
      </c>
      <c r="Z32" s="987" t="s">
        <v>219</v>
      </c>
      <c r="AA32" s="987" t="s">
        <v>72</v>
      </c>
      <c r="AB32" s="987">
        <f>IF(S32&gt;=1,(W32*12+Y32)-(S32*12+U32)+1,"")</f>
        <v>12</v>
      </c>
      <c r="AC32" s="1011" t="s">
        <v>220</v>
      </c>
      <c r="AD32" s="990">
        <f>IFERROR(ROUNDDOWN(ROUND(L32*Q32,0),0)*AB32,"")</f>
        <v>401172</v>
      </c>
      <c r="AE32" s="1014">
        <f>IFERROR(ROUNDDOWN(ROUNDDOWN(ROUND(L32*VLOOKUP(K32,【参考】数式用２!$A$2:$AC$50,MATCH("処遇改善加算Ⅳ",【参考】数式用２!$C$4:$O$4,0)+2,0),0),0)*AB32*0.5,0), "")</f>
        <v>200586</v>
      </c>
      <c r="AF32" s="999" t="s">
        <v>2339</v>
      </c>
      <c r="AG32" s="990">
        <f>IF(AND(AQ32&lt;&gt;"対象外", P32&lt;&gt;""),ROUNDDOWN(ROUND(L32*VLOOKUP(K32,【参考】数式用２!$A$2:$K$50,MATCH("ベア加算あり",【参考】数式用２!$C$4:$K$4,0)+2,0),0),0)*AB32,"")</f>
        <v>75588</v>
      </c>
      <c r="AH32" s="1008" t="s">
        <v>2339</v>
      </c>
      <c r="AI32" s="999" t="s">
        <v>221</v>
      </c>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Q列に色付け</v>
      </c>
      <c r="AP32" s="983" t="str">
        <f>IF(AND(AE32&lt;&gt;0,AE32&lt;&gt;""),IF(AF32="○","入力済","未入力"),"")</f>
        <v>入力済</v>
      </c>
      <c r="AQ32" s="743" t="str">
        <f>IFERROR((VLOOKUP(N32, 【参考】数式用２!$BE$5:$BE$13, 1,FALSE)), "対象外")</f>
        <v>処遇改善加算Ⅴ（14）</v>
      </c>
      <c r="AR32" s="742" t="str">
        <f>IF(AG32&lt;&gt;"",IF(AH32="○","入力済","未入力"),"")</f>
        <v>入力済</v>
      </c>
      <c r="AS32" s="742" t="str">
        <f>IF(AND(P32&lt;&gt;"", AI32=""), "未入力", "入力済")</f>
        <v>入力済</v>
      </c>
      <c r="AT32" s="742" t="str">
        <f>IF(AND(P32&lt;&gt;"", P32&lt;&gt;"処遇改善加算Ⅳ", AJ32=""), "未入力", "入力済")</f>
        <v>入力済</v>
      </c>
      <c r="AU32" s="742" t="str">
        <f>IFERROR(VLOOKUP(K32, 【参考】数式用２!$BB$5:$BC$50, 2, FALSE), "")</f>
        <v>対象</v>
      </c>
      <c r="AV32" s="742" t="str">
        <f>IF(AND(P32&lt;&gt;"処遇改善加算Ⅲ",P32&lt;&gt;"処遇改善加算Ⅳ", P32&lt;&gt;"", AU32&lt;&gt;"対象外"), 1,"")</f>
        <v/>
      </c>
      <c r="AW32" s="742" t="str">
        <f>IFERROR("_"&amp;VLOOKUP(K32, 【参考】数式用２!$AG$2:$AH$50, 2, FALSE), "")</f>
        <v>_44</v>
      </c>
      <c r="AX32" s="1023" t="str">
        <f>IF(AND(P32="処遇改善加算Ⅰ", AL32=""), "未入力","入力済")</f>
        <v>入力済</v>
      </c>
      <c r="AY32" s="1019" t="str">
        <f>G32</f>
        <v>東京都</v>
      </c>
      <c r="AZ32"/>
      <c r="BA32"/>
      <c r="BB32"/>
      <c r="BC32"/>
      <c r="BD32"/>
      <c r="BE32"/>
      <c r="BF32"/>
      <c r="BG32"/>
    </row>
    <row r="33" spans="1:59" ht="14.45"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5"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5"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5"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5"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5"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5"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5"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5"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5"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5"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5"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5"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5"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5"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5"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5"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5"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5"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5"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5"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5"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5"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5"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5"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5"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5"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5"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5"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5"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5"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5"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5"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5"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5"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5"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5"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5"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5"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5"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5"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5"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5"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5"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5"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5"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5"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5"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5"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5"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5"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5"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5"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5"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5"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5"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5"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5"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5"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5"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5"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5"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5"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5"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5"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5"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5"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5"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5"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5"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5"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5"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5"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5"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5"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5"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5"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5"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5"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5"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5"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5"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5"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5"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5"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5"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5"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5"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5"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5"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5"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5"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5"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5"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5"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5"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5"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5"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5"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5"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5"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5"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5"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5"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5"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5"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5"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5"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5"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5"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5"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5"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5"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5"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5"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5"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5"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5"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5"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5"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5"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5"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5"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5"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5"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5"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5"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5"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5"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5"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5"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5"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5"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5"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5"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5"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5"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5"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5"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5"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5"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5"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5"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5"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5"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5"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5"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5"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5"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5"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5"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5"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5"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5"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5"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5"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5"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5"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5"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5"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5"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5"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5"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5"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5"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5"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5"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5"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5"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5"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5"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5"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5"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5"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5"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5"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5"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5"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5"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5"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5"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5"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5"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5"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5"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5"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5"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5"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5"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5"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149999999999999"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149999999999999"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149999999999999"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149999999999999"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149999999999999"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149999999999999"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149999999999999"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149999999999999"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加算様式を指定権者に提出</v>
      </c>
      <c r="AZ2" s="742"/>
      <c r="BA2" s="742"/>
      <c r="BB2" s="742"/>
      <c r="BC2" s="74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○○サービスジギョウショ</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○○サービス事業所</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5"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コウロウ　ハナコ</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厚労　花子</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899999999999999" customHeight="1">
      <c r="A15" s="112" t="s">
        <v>2344</v>
      </c>
      <c r="B15" s="1185" t="s">
        <v>2359</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899999999999999"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899999999999999" customHeight="1" thickBot="1">
      <c r="A17" s="111" t="s">
        <v>2344</v>
      </c>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899999999999999" customHeight="1">
      <c r="A19" s="112" t="s">
        <v>2344</v>
      </c>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899999999999999" customHeight="1" thickBot="1">
      <c r="A20" s="111" t="s">
        <v>2344</v>
      </c>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5" customHeight="1" thickBot="1">
      <c r="A21" s="1240" t="s">
        <v>246</v>
      </c>
      <c r="B21" s="1241"/>
      <c r="C21" s="1241"/>
      <c r="D21" s="1241"/>
      <c r="E21" s="1241"/>
      <c r="F21" s="1241"/>
      <c r="G21" s="1241"/>
      <c r="H21" s="1241"/>
      <c r="I21" s="1241"/>
      <c r="J21" s="1241"/>
      <c r="K21" s="1241"/>
      <c r="L21" s="1241"/>
      <c r="M21" s="1245" t="s">
        <v>247</v>
      </c>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7" customHeight="1">
      <c r="A22" s="808" t="s">
        <v>2360</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9" customHeight="1">
      <c r="A27" s="112" t="s">
        <v>2344</v>
      </c>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15" customHeight="1">
      <c r="A28" s="110" t="s">
        <v>2344</v>
      </c>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t="s">
        <v>2344</v>
      </c>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t="s">
        <v>2344</v>
      </c>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t="s">
        <v>2344</v>
      </c>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899999999999999" customHeight="1">
      <c r="A32" s="110" t="s">
        <v>2344</v>
      </c>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t="s">
        <v>2344</v>
      </c>
      <c r="B33" s="1180" t="s">
        <v>2357</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v>
      </c>
      <c r="AI35" s="1230"/>
      <c r="AJ35" s="23"/>
      <c r="AK35" s="760" t="s">
        <v>256</v>
      </c>
      <c r="AL35" s="761"/>
      <c r="AM35" s="761"/>
      <c r="AN35" s="761"/>
      <c r="AO35" s="761"/>
      <c r="AP35" s="761"/>
      <c r="AQ35" s="761"/>
      <c r="AR35" s="761"/>
      <c r="AS35" s="761"/>
      <c r="AT35" s="761"/>
      <c r="AU35" s="761"/>
      <c r="AV35" s="76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167" t="s">
        <v>2358</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15" customHeight="1" thickBot="1">
      <c r="A40" s="22"/>
      <c r="B40" s="115" t="s">
        <v>2344</v>
      </c>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3">
        <v>7</v>
      </c>
      <c r="E43" s="1233"/>
      <c r="F43" s="32" t="s">
        <v>142</v>
      </c>
      <c r="G43" s="1231" t="s">
        <v>2355</v>
      </c>
      <c r="H43" s="1232"/>
      <c r="I43" s="32" t="s">
        <v>143</v>
      </c>
      <c r="J43" s="1231" t="s">
        <v>2355</v>
      </c>
      <c r="K43" s="1232"/>
      <c r="L43" s="32" t="s">
        <v>144</v>
      </c>
      <c r="M43" s="27"/>
      <c r="N43" s="893" t="s">
        <v>42</v>
      </c>
      <c r="O43" s="893"/>
      <c r="P43" s="893"/>
      <c r="Q43" s="1172" t="str">
        <f>IF(G5="","",G5)</f>
        <v>○○サービス事業所</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代表取締役</v>
      </c>
      <c r="T44" s="1162"/>
      <c r="U44" s="1162"/>
      <c r="V44" s="1162"/>
      <c r="W44" s="1162"/>
      <c r="X44" s="800"/>
      <c r="Y44" s="800"/>
      <c r="Z44" s="1162" t="str">
        <f>IF(基本情報入力シート!L27="", "", 基本情報入力シート!L27)</f>
        <v>厚労　太郎</v>
      </c>
      <c r="AA44" s="1162"/>
      <c r="AB44" s="1162"/>
      <c r="AC44" s="1162"/>
      <c r="AD44" s="1162"/>
      <c r="AE44" s="1162"/>
      <c r="AF44" s="1162"/>
      <c r="AG44" s="1162"/>
      <c r="AH44" s="116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〇</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提出先未選択</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v>
      </c>
      <c r="AF59" s="1177"/>
      <c r="AG59" s="1177"/>
      <c r="AH59" s="1177"/>
      <c r="AI59" s="1177"/>
      <c r="AJ59" s="117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加算様式を指定権者に提出</v>
      </c>
      <c r="AI2" s="742"/>
      <c r="AJ2" s="742"/>
      <c r="AK2" s="742"/>
      <c r="AL2" s="742"/>
    </row>
    <row r="3" spans="1:38" ht="31.15" customHeight="1" thickBot="1">
      <c r="A3" s="1273" t="s">
        <v>42</v>
      </c>
      <c r="B3" s="1274"/>
      <c r="C3" s="1275" t="str">
        <f>IF(基本情報入力シート!L22="", "", 基本情報入力シート!L22)</f>
        <v>○○サービス事業所</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15" customHeight="1" thickBot="1">
      <c r="A5" s="1278" t="s">
        <v>277</v>
      </c>
      <c r="B5" s="1278"/>
      <c r="C5" s="1278"/>
      <c r="D5" s="1278"/>
      <c r="E5" s="1279"/>
      <c r="F5" s="524">
        <f>IFERROR(SUM(M:M),"")</f>
        <v>2457870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t="str">
        <f>IF(C3="", 0, IF(P1="", "提出先未選択", SUMIF(D:D, P1, M:M)))</f>
        <v>提出先未選択</v>
      </c>
      <c r="G6" s="228"/>
      <c r="H6" s="1319"/>
      <c r="I6" s="1319"/>
      <c r="J6" s="1319"/>
      <c r="K6" s="1319"/>
      <c r="L6" s="1319"/>
      <c r="M6" s="1319"/>
      <c r="N6" s="1319"/>
      <c r="O6" s="1319"/>
      <c r="P6" s="1319"/>
      <c r="Q6" s="1319"/>
      <c r="R6" s="1319"/>
      <c r="S6" s="131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v>
      </c>
      <c r="U8" s="816" t="s">
        <v>2162</v>
      </c>
      <c r="V8" s="817"/>
      <c r="W8" s="817"/>
      <c r="X8" s="817"/>
      <c r="Y8" s="817"/>
      <c r="Z8" s="817"/>
      <c r="AA8" s="817"/>
      <c r="AB8" s="817"/>
      <c r="AC8" s="817"/>
      <c r="AD8" s="817"/>
      <c r="AE8" s="818"/>
      <c r="AF8" s="109"/>
      <c r="AG8" s="109"/>
      <c r="AH8" s="232"/>
    </row>
    <row r="9" spans="1:38" ht="82.9"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提出先未選択</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25" t="str">
        <f t="shared" si="2"/>
        <v/>
      </c>
      <c r="V13" s="1125"/>
      <c r="W13" s="1125"/>
      <c r="X13" s="1125"/>
      <c r="Y13" s="1125"/>
      <c r="Z13" s="1125"/>
      <c r="AA13" s="1125"/>
      <c r="AB13" s="1125"/>
      <c r="AC13" s="1125"/>
      <c r="AD13" s="1125"/>
      <c r="AE13" s="1125"/>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25" t="str">
        <f t="shared" si="2"/>
        <v/>
      </c>
      <c r="V14" s="1125"/>
      <c r="W14" s="1125"/>
      <c r="X14" s="1125"/>
      <c r="Y14" s="1125"/>
      <c r="Z14" s="1125"/>
      <c r="AA14" s="1125"/>
      <c r="AB14" s="1125"/>
      <c r="AC14" s="1125"/>
      <c r="AD14" s="1125"/>
      <c r="AE14" s="1125"/>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25" t="str">
        <f t="shared" si="2"/>
        <v/>
      </c>
      <c r="V15" s="1125"/>
      <c r="W15" s="1125"/>
      <c r="X15" s="1125"/>
      <c r="Y15" s="1125"/>
      <c r="Z15" s="1125"/>
      <c r="AA15" s="1125"/>
      <c r="AB15" s="1125"/>
      <c r="AC15" s="1125"/>
      <c r="AD15" s="1125"/>
      <c r="AE15" s="1125"/>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25" t="str">
        <f t="shared" si="2"/>
        <v/>
      </c>
      <c r="V16" s="1125"/>
      <c r="W16" s="1125"/>
      <c r="X16" s="1125"/>
      <c r="Y16" s="1125"/>
      <c r="Z16" s="1125"/>
      <c r="AA16" s="1125"/>
      <c r="AB16" s="1125"/>
      <c r="AC16" s="1125"/>
      <c r="AD16" s="1125"/>
      <c r="AE16" s="1125"/>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15" customHeight="1">
      <c r="A4" s="492"/>
      <c r="B4" s="1322" t="s">
        <v>294</v>
      </c>
      <c r="C4" s="1323"/>
      <c r="D4" s="1323"/>
      <c r="E4" s="1323"/>
      <c r="F4" s="1323"/>
      <c r="G4" s="1323"/>
      <c r="H4" s="1323"/>
      <c r="I4" s="1324"/>
      <c r="J4" s="492"/>
    </row>
    <row r="5" spans="1:10" s="493" customFormat="1" ht="25.15" customHeight="1">
      <c r="A5" s="492"/>
      <c r="B5" s="494" t="s">
        <v>295</v>
      </c>
      <c r="C5" s="1322" t="s">
        <v>2215</v>
      </c>
      <c r="D5" s="1323"/>
      <c r="E5" s="1323"/>
      <c r="F5" s="1323"/>
      <c r="G5" s="1323"/>
      <c r="H5" s="1323"/>
      <c r="I5" s="1324"/>
      <c r="J5" s="492"/>
    </row>
    <row r="6" spans="1:10" s="493" customFormat="1" ht="25.15" customHeight="1">
      <c r="A6" s="492"/>
      <c r="B6" s="494" t="s">
        <v>296</v>
      </c>
      <c r="C6" s="1322" t="s">
        <v>2216</v>
      </c>
      <c r="D6" s="1323"/>
      <c r="E6" s="1323"/>
      <c r="F6" s="1323"/>
      <c r="G6" s="1323"/>
      <c r="H6" s="1323"/>
      <c r="I6" s="1324"/>
      <c r="J6" s="492"/>
    </row>
    <row r="7" spans="1:10" s="493" customFormat="1" ht="25.15" customHeight="1">
      <c r="A7" s="492"/>
      <c r="B7" s="494" t="s">
        <v>297</v>
      </c>
      <c r="C7" s="1322" t="s">
        <v>2217</v>
      </c>
      <c r="D7" s="1323"/>
      <c r="E7" s="1323"/>
      <c r="F7" s="1323"/>
      <c r="G7" s="1323"/>
      <c r="H7" s="1323"/>
      <c r="I7" s="1324"/>
      <c r="J7" s="492"/>
    </row>
    <row r="8" spans="1:10" s="493" customFormat="1" ht="25.15"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15" customHeight="1">
      <c r="A10" s="492"/>
      <c r="B10" s="1322" t="s">
        <v>299</v>
      </c>
      <c r="C10" s="1323"/>
      <c r="D10" s="1323"/>
      <c r="E10" s="1323"/>
      <c r="F10" s="1323"/>
      <c r="G10" s="1323"/>
      <c r="H10" s="1323"/>
      <c r="I10" s="1324"/>
      <c r="J10" s="492"/>
    </row>
    <row r="11" spans="1:10" s="493" customFormat="1" ht="56.45"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50000000000003" customHeight="1">
      <c r="A13" s="492"/>
      <c r="B13" s="1321"/>
      <c r="C13" s="1326"/>
      <c r="D13" s="494" t="s">
        <v>51</v>
      </c>
      <c r="E13" s="1327" t="s">
        <v>301</v>
      </c>
      <c r="F13" s="1328"/>
      <c r="G13" s="1328"/>
      <c r="H13" s="1328"/>
      <c r="I13" s="1329"/>
    </row>
    <row r="14" spans="1:10" s="493" customFormat="1" ht="25.15" customHeight="1">
      <c r="A14" s="492"/>
      <c r="B14" s="494" t="s">
        <v>296</v>
      </c>
      <c r="C14" s="1322" t="s">
        <v>2220</v>
      </c>
      <c r="D14" s="1323"/>
      <c r="E14" s="1323"/>
      <c r="F14" s="1323"/>
      <c r="G14" s="1323"/>
      <c r="H14" s="1323"/>
      <c r="I14" s="132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27" t="s">
        <v>2221</v>
      </c>
      <c r="D17" s="1328"/>
      <c r="E17" s="1328"/>
      <c r="F17" s="1328"/>
      <c r="G17" s="1328"/>
      <c r="H17" s="1328"/>
      <c r="I17" s="1329"/>
      <c r="J17" s="500"/>
    </row>
    <row r="18" spans="1:10" s="493" customFormat="1" ht="49.9" customHeight="1">
      <c r="A18" s="492"/>
      <c r="B18" s="501"/>
      <c r="C18" s="1325" t="s">
        <v>303</v>
      </c>
      <c r="D18" s="494" t="s">
        <v>48</v>
      </c>
      <c r="E18" s="1327" t="s">
        <v>304</v>
      </c>
      <c r="F18" s="1328"/>
      <c r="G18" s="1328"/>
      <c r="H18" s="1328"/>
      <c r="I18" s="1329"/>
    </row>
    <row r="19" spans="1:10" s="493" customFormat="1" ht="76.150000000000006"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15"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15" customHeight="1">
      <c r="A27" s="485" t="s">
        <v>317</v>
      </c>
      <c r="B27" s="486" t="s">
        <v>318</v>
      </c>
      <c r="C27" s="487" t="s">
        <v>319</v>
      </c>
      <c r="D27" s="1336" t="s">
        <v>320</v>
      </c>
      <c r="E27" s="1337"/>
      <c r="F27" s="487" t="s">
        <v>321</v>
      </c>
      <c r="G27" s="487" t="s">
        <v>322</v>
      </c>
      <c r="H27" s="487" t="s">
        <v>323</v>
      </c>
      <c r="I27" s="487" t="s">
        <v>324</v>
      </c>
    </row>
    <row r="28" spans="1:10" ht="145.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4">
      <c r="A32" s="1330" t="s">
        <v>353</v>
      </c>
      <c r="B32" s="1330"/>
      <c r="C32" s="1330"/>
      <c r="D32" s="1330"/>
      <c r="E32" s="1330"/>
      <c r="F32" s="1330"/>
      <c r="G32" s="1330"/>
      <c r="H32" s="1330"/>
      <c r="I32" s="133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31" t="s">
        <v>355</v>
      </c>
      <c r="B35" s="1332"/>
      <c r="C35" s="1332"/>
      <c r="D35" s="1332"/>
      <c r="E35" s="1332"/>
      <c r="F35" s="1332"/>
      <c r="G35" s="1332"/>
      <c r="H35" s="1332"/>
      <c r="I35" s="133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75"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263dbbe5-076b-4606-a03b-9598f5f2f35a"/>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3b7b391f-316a-4bc7-a585-b2bcaf106fac"/>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179</vt:i4>
      </vt:variant>
    </vt:vector>
  </HeadingPairs>
  <TitlesOfParts>
    <vt:vector baseType="lpstr" size="187">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2025-03-14T05:46:40Z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