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461" yWindow="0" windowWidth="16125" windowHeight="7665" tabRatio="667" activeTab="0"/>
  </bookViews>
  <sheets>
    <sheet name="入力シート" sheetId="1" r:id="rId1"/>
    <sheet name="上水道テーブル" sheetId="2" state="hidden" r:id="rId2"/>
    <sheet name="下水道テーブル" sheetId="3" state="hidden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<sst xmlns="http://schemas.openxmlformats.org/spreadsheetml/2006/main" count="54" uniqueCount="42">
  <si>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水量</t>
  </si>
  <si>
    <t>円</t>
  </si>
  <si>
    <t>口径</t>
  </si>
  <si>
    <t>基本水量</t>
  </si>
  <si>
    <t>基本料金</t>
  </si>
  <si>
    <t>基本従量料金</t>
  </si>
  <si>
    <t>従量料金</t>
  </si>
  <si>
    <t>円/ｍ3</t>
  </si>
  <si>
    <t>基本料金</t>
  </si>
  <si>
    <t>上水道テーブル</t>
  </si>
  <si>
    <t>下水道テーブル</t>
  </si>
  <si>
    <t>合計</t>
  </si>
  <si>
    <t>税率</t>
  </si>
  <si>
    <t>世帯</t>
  </si>
  <si>
    <t>上水道</t>
  </si>
  <si>
    <t>下水道</t>
  </si>
  <si>
    <t>メーター口径</t>
  </si>
  <si>
    <t>2019(R1)年12月分より適用</t>
  </si>
  <si>
    <t>10%</t>
  </si>
  <si>
    <t>連合栓</t>
  </si>
  <si>
    <t>臨時用</t>
  </si>
  <si>
    <t>船舶用</t>
  </si>
  <si>
    <t>一般用</t>
  </si>
  <si>
    <t>料金区分</t>
  </si>
  <si>
    <t>(税額)</t>
  </si>
  <si>
    <t>税抜</t>
  </si>
  <si>
    <t>25mm</t>
  </si>
  <si>
    <t>40mm</t>
  </si>
  <si>
    <t>50mm</t>
  </si>
  <si>
    <t>75mm</t>
  </si>
  <si>
    <t>100mm</t>
  </si>
  <si>
    <t>150mm以上</t>
  </si>
  <si>
    <t>連合栓世帯数</t>
  </si>
  <si>
    <t>13mm,20mm</t>
  </si>
  <si>
    <r>
      <t>ｍ</t>
    </r>
    <r>
      <rPr>
        <vertAlign val="superscript"/>
        <sz val="8"/>
        <rFont val="ＭＳ ゴシック"/>
        <family val="3"/>
      </rPr>
      <t>3</t>
    </r>
  </si>
  <si>
    <t>メーター口径を選択してください。</t>
  </si>
  <si>
    <t>料金区分を選択してください。</t>
  </si>
  <si>
    <t>連合栓の世帯数を入力してください。</t>
  </si>
  <si>
    <t>計算したい水量を入力してください。</t>
  </si>
  <si>
    <t>13mm,20mm</t>
  </si>
  <si>
    <t>公衆浴場用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</si>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</sst>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\(#,##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General&quot;m&quot;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HG創英角ﾎﾟｯﾌﾟ体"/>
      <family val="3"/>
    </font>
    <font>
      <sz val="11"/>
      <color indexed="12"/>
      <name val="HG創英角ﾎﾟｯﾌﾟ体"/>
      <family val="3"/>
    </font>
    <font>
      <sz val="11"/>
      <color indexed="10"/>
      <name val="HG創英角ﾎﾟｯﾌﾟ体"/>
      <family val="3"/>
    </font>
    <font>
      <sz val="9"/>
      <name val="HG創英角ﾎﾟｯﾌﾟ体"/>
      <family val="3"/>
    </font>
    <font>
      <sz val="6"/>
      <name val="明朝"/>
      <family val="3"/>
    </font>
    <font>
      <u val="single"/>
      <sz val="22"/>
      <color indexed="12"/>
      <name val="明朝"/>
      <family val="1"/>
    </font>
    <font>
      <u val="single"/>
      <sz val="22"/>
      <color indexed="36"/>
      <name val="明朝"/>
      <family val="1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8"/>
      <color indexed="10"/>
      <name val="ＭＳ 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3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  <font>
      <sz val="8"/>
      <name val="Calibri"/>
      <family val="3"/>
    </font>
    <font>
      <sz val="8"/>
      <color rgb="FFFF0000"/>
      <name val="ＭＳ ゴシック"/>
      <family val="3"/>
    </font>
    <font>
      <sz val="8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38" fontId="6" fillId="0" borderId="0" xfId="49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8" fontId="8" fillId="0" borderId="0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7" fillId="0" borderId="0" xfId="49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38" fontId="6" fillId="0" borderId="13" xfId="49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38" fontId="7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38" fontId="6" fillId="0" borderId="15" xfId="49" applyFont="1" applyFill="1" applyBorder="1" applyAlignment="1" applyProtection="1">
      <alignment/>
      <protection/>
    </xf>
    <xf numFmtId="38" fontId="7" fillId="0" borderId="16" xfId="0" applyNumberFormat="1" applyFont="1" applyFill="1" applyBorder="1" applyAlignment="1" applyProtection="1">
      <alignment/>
      <protection/>
    </xf>
    <xf numFmtId="38" fontId="8" fillId="0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38" fontId="8" fillId="0" borderId="17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13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53" fillId="0" borderId="12" xfId="0" applyFont="1" applyFill="1" applyBorder="1" applyAlignment="1" applyProtection="1">
      <alignment/>
      <protection/>
    </xf>
    <xf numFmtId="38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6" fontId="6" fillId="0" borderId="15" xfId="0" applyNumberFormat="1" applyFont="1" applyFill="1" applyBorder="1" applyAlignment="1" applyProtection="1">
      <alignment/>
      <protection/>
    </xf>
    <xf numFmtId="1" fontId="6" fillId="0" borderId="15" xfId="0" applyNumberFormat="1" applyFont="1" applyFill="1" applyBorder="1" applyAlignment="1" applyProtection="1">
      <alignment/>
      <protection/>
    </xf>
    <xf numFmtId="0" fontId="53" fillId="0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38" fontId="6" fillId="0" borderId="17" xfId="0" applyNumberFormat="1" applyFont="1" applyFill="1" applyBorder="1" applyAlignment="1" applyProtection="1">
      <alignment/>
      <protection/>
    </xf>
    <xf numFmtId="38" fontId="6" fillId="0" borderId="15" xfId="0" applyNumberFormat="1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left" shrinkToFit="1"/>
      <protection/>
    </xf>
    <xf numFmtId="0" fontId="13" fillId="33" borderId="19" xfId="0" applyFont="1" applyFill="1" applyBorder="1" applyAlignment="1" applyProtection="1">
      <alignment horizontal="left" shrinkToFit="1"/>
      <protection/>
    </xf>
    <xf numFmtId="0" fontId="13" fillId="8" borderId="19" xfId="0" applyFont="1" applyFill="1" applyBorder="1" applyAlignment="1" applyProtection="1">
      <alignment horizontal="left" shrinkToFit="1"/>
      <protection/>
    </xf>
    <xf numFmtId="0" fontId="13" fillId="2" borderId="19" xfId="0" applyFont="1" applyFill="1" applyBorder="1" applyAlignment="1" applyProtection="1">
      <alignment horizontal="left" shrinkToFit="1"/>
      <protection/>
    </xf>
    <xf numFmtId="0" fontId="13" fillId="2" borderId="20" xfId="0" applyFont="1" applyFill="1" applyBorder="1" applyAlignment="1" applyProtection="1">
      <alignment horizontal="left" shrinkToFit="1"/>
      <protection/>
    </xf>
    <xf numFmtId="0" fontId="13" fillId="33" borderId="21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8" borderId="0" xfId="0" applyFont="1" applyFill="1" applyBorder="1" applyAlignment="1" applyProtection="1">
      <alignment/>
      <protection/>
    </xf>
    <xf numFmtId="38" fontId="13" fillId="8" borderId="0" xfId="0" applyNumberFormat="1" applyFont="1" applyFill="1" applyBorder="1" applyAlignment="1" applyProtection="1">
      <alignment horizontal="right" shrinkToFit="1"/>
      <protection/>
    </xf>
    <xf numFmtId="0" fontId="13" fillId="8" borderId="0" xfId="0" applyFont="1" applyFill="1" applyBorder="1" applyAlignment="1" applyProtection="1">
      <alignment horizontal="right" shrinkToFit="1"/>
      <protection/>
    </xf>
    <xf numFmtId="0" fontId="13" fillId="2" borderId="0" xfId="0" applyFont="1" applyFill="1" applyBorder="1" applyAlignment="1" applyProtection="1">
      <alignment shrinkToFit="1"/>
      <protection/>
    </xf>
    <xf numFmtId="0" fontId="13" fillId="2" borderId="22" xfId="0" applyFont="1" applyFill="1" applyBorder="1" applyAlignment="1" applyProtection="1">
      <alignment shrinkToFit="1"/>
      <protection/>
    </xf>
    <xf numFmtId="0" fontId="13" fillId="2" borderId="23" xfId="0" applyFont="1" applyFill="1" applyBorder="1" applyAlignment="1" applyProtection="1">
      <alignment shrinkToFit="1"/>
      <protection/>
    </xf>
    <xf numFmtId="0" fontId="13" fillId="2" borderId="24" xfId="0" applyFont="1" applyFill="1" applyBorder="1" applyAlignment="1" applyProtection="1">
      <alignment shrinkToFit="1"/>
      <protection/>
    </xf>
    <xf numFmtId="0" fontId="13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 shrinkToFit="1"/>
      <protection/>
    </xf>
    <xf numFmtId="0" fontId="13" fillId="0" borderId="0" xfId="0" applyFont="1" applyFill="1" applyAlignment="1" applyProtection="1">
      <alignment horizontal="right"/>
      <protection/>
    </xf>
    <xf numFmtId="38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shrinkToFit="1"/>
      <protection/>
    </xf>
    <xf numFmtId="38" fontId="13" fillId="0" borderId="0" xfId="49" applyFont="1" applyFill="1" applyAlignment="1" applyProtection="1">
      <alignment/>
      <protection/>
    </xf>
    <xf numFmtId="38" fontId="13" fillId="0" borderId="21" xfId="0" applyNumberFormat="1" applyFont="1" applyFill="1" applyBorder="1" applyAlignment="1" applyProtection="1">
      <alignment horizontal="right" shrinkToFit="1"/>
      <protection locked="0"/>
    </xf>
    <xf numFmtId="0" fontId="54" fillId="0" borderId="0" xfId="0" applyFont="1" applyFill="1" applyAlignment="1" applyProtection="1">
      <alignment horizontal="right" vertical="center" shrinkToFit="1"/>
      <protection/>
    </xf>
    <xf numFmtId="0" fontId="54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right" shrinkToFit="1"/>
      <protection/>
    </xf>
    <xf numFmtId="38" fontId="13" fillId="0" borderId="0" xfId="0" applyNumberFormat="1" applyFont="1" applyFill="1" applyBorder="1" applyAlignment="1" applyProtection="1">
      <alignment horizontal="right" shrinkToFit="1"/>
      <protection locked="0"/>
    </xf>
    <xf numFmtId="38" fontId="13" fillId="0" borderId="0" xfId="0" applyNumberFormat="1" applyFont="1" applyFill="1" applyBorder="1" applyAlignment="1" applyProtection="1">
      <alignment horizontal="right" shrinkToFit="1"/>
      <protection hidden="1" locked="0"/>
    </xf>
    <xf numFmtId="49" fontId="55" fillId="8" borderId="0" xfId="49" applyNumberFormat="1" applyFont="1" applyFill="1" applyBorder="1" applyAlignment="1" applyProtection="1">
      <alignment horizontal="right" shrinkToFit="1"/>
      <protection/>
    </xf>
    <xf numFmtId="0" fontId="13" fillId="8" borderId="22" xfId="0" applyFont="1" applyFill="1" applyBorder="1" applyAlignment="1" applyProtection="1">
      <alignment/>
      <protection/>
    </xf>
    <xf numFmtId="38" fontId="16" fillId="2" borderId="0" xfId="0" applyNumberFormat="1" applyFont="1" applyFill="1" applyBorder="1" applyAlignment="1" applyProtection="1">
      <alignment horizontal="right" shrinkToFit="1"/>
      <protection/>
    </xf>
    <xf numFmtId="178" fontId="16" fillId="2" borderId="0" xfId="0" applyNumberFormat="1" applyFont="1" applyFill="1" applyBorder="1" applyAlignment="1" applyProtection="1">
      <alignment horizontal="right" shrinkToFit="1"/>
      <protection/>
    </xf>
    <xf numFmtId="38" fontId="13" fillId="2" borderId="23" xfId="0" applyNumberFormat="1" applyFont="1" applyFill="1" applyBorder="1" applyAlignment="1" applyProtection="1">
      <alignment horizontal="right" shrinkToFit="1"/>
      <protection/>
    </xf>
    <xf numFmtId="178" fontId="13" fillId="2" borderId="23" xfId="0" applyNumberFormat="1" applyFont="1" applyFill="1" applyBorder="1" applyAlignment="1" applyProtection="1">
      <alignment horizontal="right" shrinkToFit="1"/>
      <protection/>
    </xf>
    <xf numFmtId="0" fontId="13" fillId="0" borderId="0" xfId="0" applyFont="1" applyFill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 shrinkToFit="1"/>
      <protection/>
    </xf>
    <xf numFmtId="0" fontId="56" fillId="33" borderId="0" xfId="0" applyFont="1" applyFill="1" applyBorder="1" applyAlignment="1">
      <alignment shrinkToFit="1"/>
    </xf>
    <xf numFmtId="0" fontId="56" fillId="33" borderId="22" xfId="0" applyFont="1" applyFill="1" applyBorder="1" applyAlignment="1">
      <alignment shrinkToFit="1"/>
    </xf>
    <xf numFmtId="0" fontId="56" fillId="33" borderId="21" xfId="0" applyFont="1" applyFill="1" applyBorder="1" applyAlignment="1" applyProtection="1">
      <alignment horizontal="left" shrinkToFit="1"/>
      <protection/>
    </xf>
    <xf numFmtId="0" fontId="56" fillId="33" borderId="25" xfId="0" applyFont="1" applyFill="1" applyBorder="1" applyAlignment="1" applyProtection="1">
      <alignment horizontal="left" shrinkToFit="1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1"/>
      </font>
    </dxf>
    <dxf>
      <font>
        <color theme="1"/>
      </font>
      <border/>
    </dxf>
    <dxf>
      <font>
        <color rgb="FFFFFF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B19"/>
  <sheetViews>
    <sheetView showGridLines="0" showRowColHeaders="0" tabSelected="1" zoomScale="200" zoomScaleNormal="200" workbookViewId="0" topLeftCell="A1">
      <selection activeCell="C2" sqref="C2"/>
    </sheetView>
  </sheetViews>
  <sheetFormatPr defaultColWidth="8.796875" defaultRowHeight="11.25" customHeight="1"/>
  <cols>
    <col min="1" max="1" width="2.3984375" style="55" customWidth="1"/>
    <col min="2" max="2" width="9.59765625" style="55" customWidth="1"/>
    <col min="3" max="3" width="10" style="57" customWidth="1"/>
    <col min="4" max="4" width="3.19921875" style="55" customWidth="1"/>
    <col min="5" max="5" width="9.69921875" style="57" customWidth="1"/>
    <col min="6" max="6" width="3.5" style="55" bestFit="1" customWidth="1"/>
    <col min="7" max="7" width="7.19921875" style="57" customWidth="1"/>
    <col min="8" max="8" width="3.5" style="55" customWidth="1"/>
    <col min="9" max="9" width="7.09765625" style="55" customWidth="1"/>
    <col min="10" max="10" width="9" style="55" hidden="1" customWidth="1"/>
    <col min="11" max="11" width="5.3984375" style="55" hidden="1" customWidth="1"/>
    <col min="12" max="12" width="5.8984375" style="55" hidden="1" customWidth="1"/>
    <col min="13" max="14" width="9" style="55" hidden="1" customWidth="1"/>
    <col min="15" max="18" width="9" style="55" customWidth="1"/>
    <col min="19" max="19" width="1.203125" style="55" customWidth="1"/>
    <col min="20" max="21" width="9" style="55" customWidth="1"/>
    <col min="22" max="22" width="1.4921875" style="55" customWidth="1"/>
    <col min="23" max="26" width="9" style="55" customWidth="1"/>
    <col min="27" max="27" width="2.3984375" style="55" customWidth="1"/>
    <col min="28" max="28" width="9" style="61" customWidth="1"/>
    <col min="29" max="16384" width="9" style="55" customWidth="1"/>
  </cols>
  <sheetData>
    <row r="1" spans="2:28" ht="11.25" customHeight="1" thickBot="1">
      <c r="B1" s="56" t="s">
        <v>17</v>
      </c>
      <c r="H1" s="58"/>
      <c r="I1" s="59"/>
      <c r="J1" s="57" t="s">
        <v>16</v>
      </c>
      <c r="K1" s="57">
        <f>IF('上水道テーブル'!$H$2&gt;1,13,VLOOKUP($C$3,$J$2:$L$8,3,FALSE))</f>
        <v>13</v>
      </c>
      <c r="L1" s="60">
        <v>1.1</v>
      </c>
      <c r="AA1" s="61"/>
      <c r="AB1" s="55"/>
    </row>
    <row r="2" spans="2:13" ht="11.25" customHeight="1">
      <c r="B2" s="41" t="s">
        <v>23</v>
      </c>
      <c r="C2" s="62"/>
      <c r="D2" s="46"/>
      <c r="E2" s="78" t="str">
        <f>IF($C$2="",$J$16,"")</f>
        <v>料金区分を選択してください。</v>
      </c>
      <c r="F2" s="78"/>
      <c r="G2" s="78"/>
      <c r="H2" s="79"/>
      <c r="J2" s="63" t="s">
        <v>33</v>
      </c>
      <c r="K2" s="64">
        <v>1</v>
      </c>
      <c r="L2" s="65">
        <v>13</v>
      </c>
      <c r="M2" s="57"/>
    </row>
    <row r="3" spans="2:13" ht="11.25" customHeight="1">
      <c r="B3" s="42" t="s">
        <v>16</v>
      </c>
      <c r="C3" s="66" t="s">
        <v>39</v>
      </c>
      <c r="D3" s="47"/>
      <c r="E3" s="75">
        <f>IF(OR($C$2=$J$10,$C$2=$J$14),$J$17,"")</f>
      </c>
      <c r="F3" s="76"/>
      <c r="G3" s="76"/>
      <c r="H3" s="77"/>
      <c r="J3" s="63" t="s">
        <v>26</v>
      </c>
      <c r="K3" s="64">
        <v>2</v>
      </c>
      <c r="L3" s="65">
        <v>25</v>
      </c>
      <c r="M3" s="57"/>
    </row>
    <row r="4" spans="2:13" ht="11.25" customHeight="1">
      <c r="B4" s="42" t="s">
        <v>32</v>
      </c>
      <c r="C4" s="67">
        <v>2</v>
      </c>
      <c r="D4" s="47" t="s">
        <v>13</v>
      </c>
      <c r="E4" s="75">
        <f>IF($C$2=$J$11,$J$18,"")</f>
      </c>
      <c r="F4" s="76"/>
      <c r="G4" s="76"/>
      <c r="H4" s="77"/>
      <c r="J4" s="63" t="s">
        <v>27</v>
      </c>
      <c r="K4" s="64">
        <v>3</v>
      </c>
      <c r="L4" s="65">
        <v>40</v>
      </c>
      <c r="M4" s="57"/>
    </row>
    <row r="5" spans="2:13" ht="11.25" customHeight="1">
      <c r="B5" s="42" t="s">
        <v>0</v>
      </c>
      <c r="C5" s="66">
        <v>0</v>
      </c>
      <c r="D5" s="47" t="s">
        <v>34</v>
      </c>
      <c r="E5" s="75" t="str">
        <f>+J19</f>
        <v>計算したい水量を入力してください。</v>
      </c>
      <c r="F5" s="76"/>
      <c r="G5" s="76"/>
      <c r="H5" s="77"/>
      <c r="J5" s="63" t="s">
        <v>28</v>
      </c>
      <c r="K5" s="64">
        <v>4</v>
      </c>
      <c r="L5" s="65">
        <v>50</v>
      </c>
      <c r="M5" s="57"/>
    </row>
    <row r="6" spans="2:12" ht="11.25" customHeight="1">
      <c r="B6" s="43" t="s">
        <v>12</v>
      </c>
      <c r="C6" s="68" t="s">
        <v>18</v>
      </c>
      <c r="D6" s="48"/>
      <c r="E6" s="49" t="s">
        <v>25</v>
      </c>
      <c r="F6" s="48"/>
      <c r="G6" s="50" t="s">
        <v>24</v>
      </c>
      <c r="H6" s="69"/>
      <c r="J6" s="63" t="s">
        <v>29</v>
      </c>
      <c r="K6" s="64">
        <v>5</v>
      </c>
      <c r="L6" s="65">
        <v>75</v>
      </c>
    </row>
    <row r="7" spans="2:12" ht="11.25" customHeight="1">
      <c r="B7" s="44" t="s">
        <v>14</v>
      </c>
      <c r="C7" s="70" t="e">
        <f>VLOOKUP($C$2,$J$10:$M$14,4,FALSE)</f>
        <v>#N/A</v>
      </c>
      <c r="D7" s="51" t="s">
        <v>1</v>
      </c>
      <c r="E7" s="70" t="e">
        <f>C7-G7</f>
        <v>#N/A</v>
      </c>
      <c r="F7" s="51" t="s">
        <v>1</v>
      </c>
      <c r="G7" s="71" t="e">
        <f>INT(C7*($L$1-1)/$L$1)</f>
        <v>#N/A</v>
      </c>
      <c r="H7" s="52" t="s">
        <v>1</v>
      </c>
      <c r="J7" s="63" t="s">
        <v>30</v>
      </c>
      <c r="K7" s="64">
        <v>6</v>
      </c>
      <c r="L7" s="65">
        <v>100</v>
      </c>
    </row>
    <row r="8" spans="2:12" ht="11.25" customHeight="1">
      <c r="B8" s="44" t="s">
        <v>15</v>
      </c>
      <c r="C8" s="70" t="e">
        <f>VLOOKUP($C$2,$J$10:$N$14,5,FALSE)</f>
        <v>#N/A</v>
      </c>
      <c r="D8" s="51" t="s">
        <v>1</v>
      </c>
      <c r="E8" s="70" t="e">
        <f>IF(ISNUMBER(C8),C8-G8,C8)</f>
        <v>#N/A</v>
      </c>
      <c r="F8" s="51" t="s">
        <v>1</v>
      </c>
      <c r="G8" s="71" t="e">
        <f>IF(ISNUMBER(C8),INT(C8*($L$1-1)/$L$1),C8)</f>
        <v>#N/A</v>
      </c>
      <c r="H8" s="52" t="s">
        <v>1</v>
      </c>
      <c r="J8" s="63" t="s">
        <v>31</v>
      </c>
      <c r="K8" s="64">
        <v>7</v>
      </c>
      <c r="L8" s="65">
        <v>150</v>
      </c>
    </row>
    <row r="9" spans="2:12" ht="11.25" customHeight="1" thickBot="1">
      <c r="B9" s="45" t="s">
        <v>11</v>
      </c>
      <c r="C9" s="72" t="e">
        <f>SUM(C7:C8)</f>
        <v>#N/A</v>
      </c>
      <c r="D9" s="53" t="s">
        <v>1</v>
      </c>
      <c r="E9" s="72" t="e">
        <f>SUM(E7:E8)</f>
        <v>#N/A</v>
      </c>
      <c r="F9" s="53" t="s">
        <v>1</v>
      </c>
      <c r="G9" s="73" t="e">
        <f>SUM(G7:G8)</f>
        <v>#N/A</v>
      </c>
      <c r="H9" s="54" t="s">
        <v>1</v>
      </c>
      <c r="J9" s="63"/>
      <c r="K9" s="64"/>
      <c r="L9" s="65"/>
    </row>
    <row r="10" spans="10:14" ht="11.25" customHeight="1">
      <c r="J10" s="63" t="s">
        <v>22</v>
      </c>
      <c r="K10" s="64"/>
      <c r="L10" s="65"/>
      <c r="M10" s="59">
        <f>+'上水道テーブル'!$M$2</f>
        <v>631</v>
      </c>
      <c r="N10" s="59">
        <f>+'下水道テーブル'!$H$2</f>
        <v>639</v>
      </c>
    </row>
    <row r="11" spans="10:14" ht="11.25" customHeight="1">
      <c r="J11" s="58" t="s">
        <v>19</v>
      </c>
      <c r="K11" s="55">
        <v>9</v>
      </c>
      <c r="L11" s="55">
        <v>13</v>
      </c>
      <c r="M11" s="59">
        <f>+'上水道テーブル'!$M$2</f>
        <v>631</v>
      </c>
      <c r="N11" s="59">
        <f>+'下水道テーブル'!$H$2</f>
        <v>639</v>
      </c>
    </row>
    <row r="12" spans="10:14" ht="11.25" customHeight="1">
      <c r="J12" s="58" t="s">
        <v>20</v>
      </c>
      <c r="L12" s="55">
        <v>327</v>
      </c>
      <c r="M12" s="61">
        <f>+$C$5*L12</f>
        <v>0</v>
      </c>
      <c r="N12" s="59">
        <f>+'下水道テーブル'!$H$2</f>
        <v>639</v>
      </c>
    </row>
    <row r="13" spans="10:14" ht="11.25" customHeight="1">
      <c r="J13" s="58" t="s">
        <v>21</v>
      </c>
      <c r="L13" s="55">
        <v>327</v>
      </c>
      <c r="M13" s="61">
        <f>+$C$5*L13</f>
        <v>0</v>
      </c>
      <c r="N13" s="59" t="s">
        <v>41</v>
      </c>
    </row>
    <row r="14" spans="10:14" ht="11.25" customHeight="1">
      <c r="J14" s="58" t="s">
        <v>40</v>
      </c>
      <c r="L14" s="55">
        <v>71</v>
      </c>
      <c r="M14" s="61">
        <f>VLOOKUP($K$1,'上水道テーブル'!$B$4:$E$12,3)+L14*$C$5</f>
        <v>631</v>
      </c>
      <c r="N14" s="61">
        <f>+$C$5*18</f>
        <v>0</v>
      </c>
    </row>
    <row r="16" ht="11.25" customHeight="1">
      <c r="J16" s="55" t="s">
        <v>36</v>
      </c>
    </row>
    <row r="17" ht="11.25" customHeight="1">
      <c r="J17" s="74" t="s">
        <v>35</v>
      </c>
    </row>
    <row r="18" ht="11.25" customHeight="1">
      <c r="J18" s="55" t="s">
        <v>37</v>
      </c>
    </row>
    <row r="19" ht="11.25" customHeight="1">
      <c r="J19" s="55" t="s">
        <v>38</v>
      </c>
    </row>
  </sheetData>
  <sheetProtection password="CC69" sheet="1" objects="1" scenarios="1" selectLockedCells="1"/>
  <mergeCells count="4">
    <mergeCell ref="E3:H3"/>
    <mergeCell ref="E4:H4"/>
    <mergeCell ref="E2:H2"/>
    <mergeCell ref="E5:H5"/>
  </mergeCells>
  <conditionalFormatting sqref="C3:D3">
    <cfRule type="expression" priority="5" dxfId="4">
      <formula>$A$1=1</formula>
    </cfRule>
  </conditionalFormatting>
  <conditionalFormatting sqref="B4 D4">
    <cfRule type="expression" priority="8" dxfId="5" stopIfTrue="1">
      <formula>$C$2&lt;&gt;$J$11</formula>
    </cfRule>
  </conditionalFormatting>
  <conditionalFormatting sqref="C4">
    <cfRule type="expression" priority="2" dxfId="5" stopIfTrue="1">
      <formula>$C$2&lt;&gt;$J$11</formula>
    </cfRule>
  </conditionalFormatting>
  <conditionalFormatting sqref="B3:C3">
    <cfRule type="expression" priority="1" dxfId="5" stopIfTrue="1">
      <formula>OR($C$2=$J$11,$C$2=$J$12,$C$2=$J$13)</formula>
    </cfRule>
  </conditionalFormatting>
  <dataValidations count="5">
    <dataValidation type="whole" operator="greaterThanOrEqual" showErrorMessage="1" promptTitle="水量CHECK" prompt="era-" errorTitle="水量エラー" error="水量は０以上の整数で入力してください。" sqref="C5">
      <formula1>0</formula1>
    </dataValidation>
    <dataValidation type="custom" operator="greaterThanOrEqual" showErrorMessage="1" errorTitle="下水道認定水量エラー" error="下水道認定水量は整数でお願いします。" sqref="G5">
      <formula1>G5=INT(G5)</formula1>
    </dataValidation>
    <dataValidation type="list" allowBlank="1" showErrorMessage="1" promptTitle="料金区分" prompt="料金区分をドロップダウンリストから選択してください。" errorTitle="料金区分エラー" error="料金区分をドロップダウンリストから選択してください。" sqref="C2">
      <formula1>J10:J14</formula1>
    </dataValidation>
    <dataValidation type="list" allowBlank="1" showErrorMessage="1" promptTitle="メーター口径選択" prompt="メーター口径を選択してください。" sqref="C3">
      <formula1>$J$2:$J$8</formula1>
    </dataValidation>
    <dataValidation type="custom" operator="greaterThanOrEqual" showInputMessage="1" showErrorMessage="1" errorTitle="連合栓世帯数エラー" error="連合栓の世帯数は2以上の整数を入力してください。" sqref="C4">
      <formula1>IF(C2=J11,IF(C4&gt;1,MOD(C4,1)=0),1)</formula1>
    </dataValidation>
  </dataValidations>
  <printOptions/>
  <pageMargins left="0.787" right="0.787" top="0.984" bottom="0.984" header="0.5" footer="0.5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P13"/>
  <sheetViews>
    <sheetView zoomScalePageLayoutView="0" workbookViewId="0" topLeftCell="A1">
      <selection activeCell="H2" sqref="H2"/>
    </sheetView>
  </sheetViews>
  <sheetFormatPr defaultColWidth="8.796875" defaultRowHeight="14.25"/>
  <cols>
    <col min="13" max="13" width="11.8984375" style="0" customWidth="1"/>
  </cols>
  <sheetData>
    <row r="1" spans="2:13" ht="13.5">
      <c r="B1" s="10"/>
      <c r="C1" s="11"/>
      <c r="D1" s="11"/>
      <c r="E1" s="11"/>
      <c r="F1" s="11"/>
      <c r="G1" s="11"/>
      <c r="H1" s="23">
        <f>VLOOKUP('入力シート'!$C$5,$H$4:$J$13,1)</f>
        <v>0</v>
      </c>
      <c r="I1" s="23">
        <f>VLOOKUP('入力シート'!$C$5,$H$4:$J$13,2)</f>
        <v>0</v>
      </c>
      <c r="J1" s="23">
        <f>VLOOKUP('入力シート'!$C$5,$H$4:$J$13,3)</f>
        <v>0</v>
      </c>
      <c r="K1" s="24"/>
      <c r="L1" s="23">
        <f>VLOOKUP('入力シート'!$C$5,$L$4:$M$13,1)</f>
        <v>0</v>
      </c>
      <c r="M1" s="25">
        <f>VLOOKUP('入力シート'!$C$5,$L$4:$M$13,2)</f>
        <v>631</v>
      </c>
    </row>
    <row r="2" spans="2:13" ht="13.5">
      <c r="B2" s="14" t="s">
        <v>9</v>
      </c>
      <c r="C2" s="3"/>
      <c r="D2" s="26"/>
      <c r="E2" s="26"/>
      <c r="F2" s="3"/>
      <c r="G2" s="3"/>
      <c r="H2" s="5">
        <f>IF('入力シート'!$C$2='入力シート'!$J$11,'入力シート'!$C$4,1)</f>
        <v>1</v>
      </c>
      <c r="I2" s="5"/>
      <c r="J2" s="5"/>
      <c r="K2" s="27"/>
      <c r="L2" s="5"/>
      <c r="M2" s="28">
        <f>$M$1+('入力シート'!$C$5-$L$1)*$J$1</f>
        <v>631</v>
      </c>
    </row>
    <row r="3" spans="2:13" ht="13.5">
      <c r="B3" s="16" t="s">
        <v>2</v>
      </c>
      <c r="C3" s="3" t="s">
        <v>3</v>
      </c>
      <c r="D3" s="26" t="s">
        <v>4</v>
      </c>
      <c r="E3" s="29" t="s">
        <v>5</v>
      </c>
      <c r="F3" s="3"/>
      <c r="G3" s="17" t="s">
        <v>6</v>
      </c>
      <c r="H3" s="17"/>
      <c r="I3" s="3" t="s">
        <v>7</v>
      </c>
      <c r="J3" s="3" t="s">
        <v>7</v>
      </c>
      <c r="K3" s="3"/>
      <c r="L3" s="6"/>
      <c r="M3" s="18"/>
    </row>
    <row r="4" spans="2:13" ht="13.5">
      <c r="B4" s="14">
        <v>13</v>
      </c>
      <c r="C4" s="3">
        <v>0</v>
      </c>
      <c r="D4" s="32">
        <v>631</v>
      </c>
      <c r="E4" s="7"/>
      <c r="F4" s="8"/>
      <c r="G4" s="3">
        <v>0</v>
      </c>
      <c r="H4" s="30">
        <v>0</v>
      </c>
      <c r="I4" s="33">
        <v>0</v>
      </c>
      <c r="J4" s="3">
        <v>0</v>
      </c>
      <c r="K4" s="3"/>
      <c r="L4" s="3">
        <f>G4</f>
        <v>0</v>
      </c>
      <c r="M4" s="18">
        <f>VLOOKUP('入力シート'!$K$1,$B$4:$E$12,3)*'上水道テーブル'!$H$2</f>
        <v>631</v>
      </c>
    </row>
    <row r="5" spans="2:16" ht="13.5">
      <c r="B5" s="14">
        <v>20</v>
      </c>
      <c r="C5" s="3">
        <v>0</v>
      </c>
      <c r="D5" s="32">
        <v>631</v>
      </c>
      <c r="E5" s="7"/>
      <c r="F5" s="8"/>
      <c r="G5" s="3">
        <f>VLOOKUP('入力シート'!$K$1,$B$4:$D$11,2)</f>
        <v>0</v>
      </c>
      <c r="H5" s="30">
        <f>G5*'上水道テーブル'!$H$2+1</f>
        <v>1</v>
      </c>
      <c r="I5" s="33">
        <v>56</v>
      </c>
      <c r="J5" s="3">
        <f>IF('入力シート'!$C$3&lt;40,I5,IF(VLOOKUP('入力シート'!$K$1,$B$4:$E$12,4)&lt;I5,I5,VLOOKUP('入力シート'!$K$1,$B$4:$E$12,4)))</f>
        <v>56</v>
      </c>
      <c r="K5" s="34"/>
      <c r="L5" s="3">
        <f>G5*'上水道テーブル'!$H$2</f>
        <v>0</v>
      </c>
      <c r="M5" s="18">
        <f>M4+J4*(H5-H4)</f>
        <v>631</v>
      </c>
      <c r="P5" s="3">
        <f aca="true" t="shared" si="0" ref="P5:P13">INT(I5/108*110)</f>
        <v>57</v>
      </c>
    </row>
    <row r="6" spans="2:16" ht="13.5">
      <c r="B6" s="14">
        <v>25</v>
      </c>
      <c r="C6" s="3">
        <v>0</v>
      </c>
      <c r="D6" s="32">
        <v>1711</v>
      </c>
      <c r="E6" s="7"/>
      <c r="F6" s="8"/>
      <c r="G6" s="3">
        <v>5</v>
      </c>
      <c r="H6" s="30">
        <f>G6*'上水道テーブル'!$H$2+1</f>
        <v>6</v>
      </c>
      <c r="I6" s="33">
        <v>104</v>
      </c>
      <c r="J6" s="3">
        <f>IF('入力シート'!$C$3&lt;40,I6,IF(VLOOKUP('入力シート'!$K$1,$B$4:$E$12,4)&lt;I6,I6,VLOOKUP('入力シート'!$K$1,$B$4:$E$12,4)))</f>
        <v>104</v>
      </c>
      <c r="K6" s="34"/>
      <c r="L6" s="3">
        <f>G6*'上水道テーブル'!$H$2</f>
        <v>5</v>
      </c>
      <c r="M6" s="18">
        <f aca="true" t="shared" si="1" ref="M6:M13">M5+J5*(H6-H5)</f>
        <v>911</v>
      </c>
      <c r="P6" s="3">
        <f t="shared" si="0"/>
        <v>105</v>
      </c>
    </row>
    <row r="7" spans="2:16" ht="13.5">
      <c r="B7" s="14">
        <v>40</v>
      </c>
      <c r="C7" s="3">
        <v>0</v>
      </c>
      <c r="D7" s="32">
        <v>4237</v>
      </c>
      <c r="E7" s="32">
        <f>+I10</f>
        <v>254</v>
      </c>
      <c r="F7" s="8"/>
      <c r="G7" s="3">
        <v>10</v>
      </c>
      <c r="H7" s="30">
        <f>G7*'上水道テーブル'!$H$2+1</f>
        <v>11</v>
      </c>
      <c r="I7" s="33">
        <v>146</v>
      </c>
      <c r="J7" s="3">
        <f>IF('入力シート'!$C$3&lt;40,I7,IF(VLOOKUP('入力シート'!$K$1,$B$4:$E$12,4)&lt;I7,I7,VLOOKUP('入力シート'!$K$1,$B$4:$E$12,4)))</f>
        <v>146</v>
      </c>
      <c r="K7" s="34"/>
      <c r="L7" s="3">
        <f>G7*'上水道テーブル'!$H$2</f>
        <v>10</v>
      </c>
      <c r="M7" s="18">
        <f t="shared" si="1"/>
        <v>1431</v>
      </c>
      <c r="P7" s="3">
        <f t="shared" si="0"/>
        <v>148</v>
      </c>
    </row>
    <row r="8" spans="2:16" ht="13.5">
      <c r="B8" s="14">
        <v>50</v>
      </c>
      <c r="C8" s="3">
        <v>0</v>
      </c>
      <c r="D8" s="32">
        <v>10052</v>
      </c>
      <c r="E8" s="32">
        <f>+I11</f>
        <v>283</v>
      </c>
      <c r="F8" s="8"/>
      <c r="G8" s="3">
        <v>15</v>
      </c>
      <c r="H8" s="30">
        <f>G8*'上水道テーブル'!$H$2+1</f>
        <v>16</v>
      </c>
      <c r="I8" s="33">
        <v>176</v>
      </c>
      <c r="J8" s="3">
        <f>IF('入力シート'!$C$3&lt;40,I8,IF(VLOOKUP('入力シート'!$K$1,$B$4:$E$12,4)&lt;I8,I8,VLOOKUP('入力シート'!$K$1,$B$4:$E$12,4)))</f>
        <v>176</v>
      </c>
      <c r="K8" s="34"/>
      <c r="L8" s="3">
        <f>G8*'上水道テーブル'!$H$2</f>
        <v>15</v>
      </c>
      <c r="M8" s="18">
        <f t="shared" si="1"/>
        <v>2161</v>
      </c>
      <c r="P8" s="3">
        <f t="shared" si="0"/>
        <v>179</v>
      </c>
    </row>
    <row r="9" spans="2:16" ht="13.5">
      <c r="B9" s="14">
        <v>75</v>
      </c>
      <c r="C9" s="3">
        <v>0</v>
      </c>
      <c r="D9" s="32">
        <v>22030</v>
      </c>
      <c r="E9" s="32">
        <f>+E8</f>
        <v>283</v>
      </c>
      <c r="F9" s="8"/>
      <c r="G9" s="3">
        <v>25</v>
      </c>
      <c r="H9" s="30">
        <f>G9*'上水道テーブル'!$H$2+1</f>
        <v>26</v>
      </c>
      <c r="I9" s="33">
        <v>218</v>
      </c>
      <c r="J9" s="3">
        <f>IF('入力シート'!$C$3&lt;40,I9,IF(VLOOKUP('入力シート'!$K$1,$B$4:$E$12,4)&lt;I9,I9,VLOOKUP('入力シート'!$K$1,$B$4:$E$12,4)))</f>
        <v>218</v>
      </c>
      <c r="K9" s="34"/>
      <c r="L9" s="3">
        <f>G9*'上水道テーブル'!$H$2</f>
        <v>25</v>
      </c>
      <c r="M9" s="18">
        <f>M8+J8*(H9-H8)</f>
        <v>3921</v>
      </c>
      <c r="P9" s="3">
        <f t="shared" si="0"/>
        <v>222</v>
      </c>
    </row>
    <row r="10" spans="2:16" ht="13.5">
      <c r="B10" s="14">
        <v>100</v>
      </c>
      <c r="C10" s="3">
        <v>0</v>
      </c>
      <c r="D10" s="32">
        <v>58605</v>
      </c>
      <c r="E10" s="32">
        <f>+I12</f>
        <v>308</v>
      </c>
      <c r="F10" s="8"/>
      <c r="G10" s="3">
        <v>35</v>
      </c>
      <c r="H10" s="30">
        <f>G10*'上水道テーブル'!$H$2+1</f>
        <v>36</v>
      </c>
      <c r="I10" s="33">
        <v>254</v>
      </c>
      <c r="J10" s="3">
        <f>IF('入力シート'!$C$3&lt;40,I10,IF(VLOOKUP('入力シート'!$K$1,$B$4:$E$12,4)&lt;I10,I10,VLOOKUP('入力シート'!$K$1,$B$4:$E$12,4)))</f>
        <v>254</v>
      </c>
      <c r="K10" s="34"/>
      <c r="L10" s="3">
        <f>G10*'上水道テーブル'!$H$2</f>
        <v>35</v>
      </c>
      <c r="M10" s="18">
        <f t="shared" si="1"/>
        <v>6101</v>
      </c>
      <c r="P10" s="3">
        <f t="shared" si="0"/>
        <v>258</v>
      </c>
    </row>
    <row r="11" spans="2:16" ht="13.5">
      <c r="B11" s="14">
        <v>150</v>
      </c>
      <c r="C11" s="3">
        <v>0</v>
      </c>
      <c r="D11" s="32">
        <v>105518</v>
      </c>
      <c r="E11" s="32">
        <f>+E10</f>
        <v>308</v>
      </c>
      <c r="F11" s="8"/>
      <c r="G11" s="3">
        <v>50</v>
      </c>
      <c r="H11" s="30">
        <f>G11*'上水道テーブル'!$H$2+1</f>
        <v>51</v>
      </c>
      <c r="I11" s="33">
        <v>283</v>
      </c>
      <c r="J11" s="3">
        <f>IF('入力シート'!$C$3&lt;40,I11,IF(VLOOKUP('入力シート'!$K$1,$B$4:$E$12,4)&lt;I11,I11,VLOOKUP('入力シート'!$K$1,$B$4:$E$12,4)))</f>
        <v>283</v>
      </c>
      <c r="K11" s="34"/>
      <c r="L11" s="3">
        <f>G11*'上水道テーブル'!$H$2</f>
        <v>50</v>
      </c>
      <c r="M11" s="18">
        <f t="shared" si="1"/>
        <v>9911</v>
      </c>
      <c r="P11" s="3">
        <f t="shared" si="0"/>
        <v>288</v>
      </c>
    </row>
    <row r="12" spans="2:16" ht="13.5">
      <c r="B12" s="14"/>
      <c r="C12" s="3"/>
      <c r="D12" s="26"/>
      <c r="E12" s="26"/>
      <c r="F12" s="3"/>
      <c r="G12" s="3">
        <v>100</v>
      </c>
      <c r="H12" s="30">
        <f>G12*'上水道テーブル'!$H$2+1</f>
        <v>101</v>
      </c>
      <c r="I12" s="33">
        <v>308</v>
      </c>
      <c r="J12" s="3">
        <f>IF('入力シート'!$C$3&lt;40,I12,IF(VLOOKUP('入力シート'!$K$1,$B$4:$E$12,4)&lt;I12,I12,VLOOKUP('入力シート'!$K$1,$B$4:$E$12,4)))</f>
        <v>308</v>
      </c>
      <c r="K12" s="34"/>
      <c r="L12" s="3">
        <f>G12*'上水道テーブル'!$H$2</f>
        <v>100</v>
      </c>
      <c r="M12" s="18">
        <f t="shared" si="1"/>
        <v>24061</v>
      </c>
      <c r="P12" s="3">
        <f t="shared" si="0"/>
        <v>313</v>
      </c>
    </row>
    <row r="13" spans="2:16" ht="13.5">
      <c r="B13" s="19"/>
      <c r="C13" s="20"/>
      <c r="D13" s="35"/>
      <c r="E13" s="35"/>
      <c r="F13" s="20"/>
      <c r="G13" s="20">
        <v>300</v>
      </c>
      <c r="H13" s="36">
        <f>G13*'上水道テーブル'!$H$2+1</f>
        <v>301</v>
      </c>
      <c r="I13" s="37">
        <v>327</v>
      </c>
      <c r="J13" s="20">
        <f>IF('入力シート'!$C$3&lt;40,I13,IF(VLOOKUP('入力シート'!$K$1,$B$4:$E$12,4)&lt;I13,I13,VLOOKUP('入力シート'!$K$1,$B$4:$E$12,4)))</f>
        <v>327</v>
      </c>
      <c r="K13" s="38"/>
      <c r="L13" s="20">
        <f>G13*'上水道テーブル'!$H$2</f>
        <v>300</v>
      </c>
      <c r="M13" s="22">
        <f t="shared" si="1"/>
        <v>85661</v>
      </c>
      <c r="P13" s="3">
        <f t="shared" si="0"/>
        <v>333</v>
      </c>
    </row>
  </sheetData>
  <sheetProtection password="CC59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I13"/>
  <sheetViews>
    <sheetView zoomScalePageLayoutView="0" workbookViewId="0" topLeftCell="A1">
      <selection activeCell="L15" sqref="L15"/>
    </sheetView>
  </sheetViews>
  <sheetFormatPr defaultColWidth="8.796875" defaultRowHeight="14.25"/>
  <cols>
    <col min="1" max="3" width="9" style="4" customWidth="1"/>
    <col min="4" max="4" width="10.09765625" style="4" customWidth="1"/>
    <col min="5" max="6" width="9" style="4" customWidth="1"/>
    <col min="7" max="7" width="10.59765625" style="4" customWidth="1"/>
    <col min="8" max="8" width="15.09765625" style="4" customWidth="1"/>
    <col min="9" max="16384" width="9" style="4" customWidth="1"/>
  </cols>
  <sheetData>
    <row r="1" spans="2:8" ht="13.5">
      <c r="B1" s="10"/>
      <c r="C1" s="11"/>
      <c r="D1" s="12">
        <f>VLOOKUP('入力シート'!$C$5,$D$4:$E$11,1)</f>
        <v>0</v>
      </c>
      <c r="E1" s="12">
        <f>VLOOKUP('入力シート'!C5,$D$4:$E$11,2)</f>
        <v>0</v>
      </c>
      <c r="F1" s="13"/>
      <c r="G1" s="12">
        <f>VLOOKUP('入力シート'!$C$5,$G$4:$H$11,1)</f>
        <v>0</v>
      </c>
      <c r="H1" s="39">
        <f>VLOOKUP('入力シート'!$C$5,$G$4:$H$11,2)</f>
        <v>639</v>
      </c>
    </row>
    <row r="2" spans="2:9" ht="13.5">
      <c r="B2" s="14" t="s">
        <v>10</v>
      </c>
      <c r="C2" s="7"/>
      <c r="D2" s="7"/>
      <c r="E2" s="7"/>
      <c r="F2" s="3"/>
      <c r="G2" s="8"/>
      <c r="H2" s="15">
        <f>$H$1+('入力シート'!$C$5-$G$1)*$E$1</f>
        <v>639</v>
      </c>
      <c r="I2" s="1"/>
    </row>
    <row r="3" spans="2:9" ht="13.5">
      <c r="B3" s="16" t="s">
        <v>8</v>
      </c>
      <c r="C3" s="80" t="s">
        <v>6</v>
      </c>
      <c r="D3" s="80"/>
      <c r="E3" s="3" t="s">
        <v>7</v>
      </c>
      <c r="F3" s="3"/>
      <c r="G3" s="9"/>
      <c r="H3" s="18"/>
      <c r="I3" s="1"/>
    </row>
    <row r="4" spans="2:9" ht="13.5">
      <c r="B4" s="31">
        <v>639</v>
      </c>
      <c r="C4" s="7">
        <v>0</v>
      </c>
      <c r="D4" s="7">
        <v>0</v>
      </c>
      <c r="E4" s="33">
        <v>0</v>
      </c>
      <c r="F4" s="3"/>
      <c r="G4" s="8">
        <f>C4</f>
        <v>0</v>
      </c>
      <c r="H4" s="18">
        <f>$B$4*'上水道テーブル'!$H$2</f>
        <v>639</v>
      </c>
      <c r="I4" s="1"/>
    </row>
    <row r="5" spans="2:9" ht="13.5">
      <c r="B5" s="14"/>
      <c r="C5" s="7">
        <v>10</v>
      </c>
      <c r="D5" s="7">
        <f>C5*'上水道テーブル'!$H$2+1</f>
        <v>11</v>
      </c>
      <c r="E5" s="33">
        <v>85</v>
      </c>
      <c r="F5" s="3"/>
      <c r="G5" s="8">
        <f>C5*'上水道テーブル'!$H$2</f>
        <v>10</v>
      </c>
      <c r="H5" s="18">
        <f aca="true" t="shared" si="0" ref="H5:H11">H4+E4*(G5-G4)</f>
        <v>639</v>
      </c>
      <c r="I5" s="1"/>
    </row>
    <row r="6" spans="2:9" ht="13.5">
      <c r="B6" s="14"/>
      <c r="C6" s="7">
        <v>30</v>
      </c>
      <c r="D6" s="7">
        <f>C6*'上水道テーブル'!$H$2+1</f>
        <v>31</v>
      </c>
      <c r="E6" s="33">
        <v>101</v>
      </c>
      <c r="F6" s="3"/>
      <c r="G6" s="8">
        <f>C6*'上水道テーブル'!$H$2</f>
        <v>30</v>
      </c>
      <c r="H6" s="18">
        <f t="shared" si="0"/>
        <v>2339</v>
      </c>
      <c r="I6" s="1"/>
    </row>
    <row r="7" spans="2:9" ht="13.5">
      <c r="B7" s="14"/>
      <c r="C7" s="7">
        <v>50</v>
      </c>
      <c r="D7" s="7">
        <f>C7*'上水道テーブル'!$H$2+1</f>
        <v>51</v>
      </c>
      <c r="E7" s="33">
        <v>138</v>
      </c>
      <c r="F7" s="3"/>
      <c r="G7" s="8">
        <f>C7*'上水道テーブル'!$H$2</f>
        <v>50</v>
      </c>
      <c r="H7" s="18">
        <f t="shared" si="0"/>
        <v>4359</v>
      </c>
      <c r="I7" s="1"/>
    </row>
    <row r="8" spans="2:9" ht="13.5">
      <c r="B8" s="14"/>
      <c r="C8" s="7">
        <v>100</v>
      </c>
      <c r="D8" s="7">
        <f>C8*'上水道テーブル'!$H$2+1</f>
        <v>101</v>
      </c>
      <c r="E8" s="33">
        <v>165</v>
      </c>
      <c r="F8" s="3"/>
      <c r="G8" s="8">
        <f>C8*'上水道テーブル'!$H$2</f>
        <v>100</v>
      </c>
      <c r="H8" s="18">
        <f t="shared" si="0"/>
        <v>11259</v>
      </c>
      <c r="I8" s="1"/>
    </row>
    <row r="9" spans="2:9" ht="13.5">
      <c r="B9" s="14"/>
      <c r="C9" s="7">
        <v>300</v>
      </c>
      <c r="D9" s="7">
        <f>C9*'上水道テーブル'!$H$2+1</f>
        <v>301</v>
      </c>
      <c r="E9" s="33">
        <v>200</v>
      </c>
      <c r="F9" s="3"/>
      <c r="G9" s="8">
        <f>C9*'上水道テーブル'!$H$2</f>
        <v>300</v>
      </c>
      <c r="H9" s="18">
        <f t="shared" si="0"/>
        <v>44259</v>
      </c>
      <c r="I9" s="1"/>
    </row>
    <row r="10" spans="2:9" ht="13.5">
      <c r="B10" s="14"/>
      <c r="C10" s="7">
        <v>1000</v>
      </c>
      <c r="D10" s="7">
        <f>C10*'上水道テーブル'!$H$2+1</f>
        <v>1001</v>
      </c>
      <c r="E10" s="33">
        <v>210</v>
      </c>
      <c r="F10" s="3"/>
      <c r="G10" s="8">
        <f>C10*'上水道テーブル'!$H$2</f>
        <v>1000</v>
      </c>
      <c r="H10" s="18">
        <f t="shared" si="0"/>
        <v>184259</v>
      </c>
      <c r="I10" s="1"/>
    </row>
    <row r="11" spans="2:9" ht="13.5">
      <c r="B11" s="19"/>
      <c r="C11" s="40">
        <v>8000</v>
      </c>
      <c r="D11" s="40">
        <f>C11*'上水道テーブル'!$H$2+1</f>
        <v>8001</v>
      </c>
      <c r="E11" s="37">
        <v>220</v>
      </c>
      <c r="F11" s="20"/>
      <c r="G11" s="21">
        <f>C11*'上水道テーブル'!$H$2</f>
        <v>8000</v>
      </c>
      <c r="H11" s="22">
        <f t="shared" si="0"/>
        <v>1654259</v>
      </c>
      <c r="I11" s="1"/>
    </row>
    <row r="12" spans="2:9" ht="13.5">
      <c r="B12" s="1"/>
      <c r="C12" s="1"/>
      <c r="D12" s="1"/>
      <c r="E12" s="1"/>
      <c r="F12" s="1"/>
      <c r="G12" s="2"/>
      <c r="H12" s="1"/>
      <c r="I12" s="1"/>
    </row>
    <row r="13" spans="2:9" ht="13.5">
      <c r="B13" s="1"/>
      <c r="C13" s="1"/>
      <c r="D13" s="1"/>
      <c r="E13" s="1"/>
      <c r="F13" s="1"/>
      <c r="G13" s="2"/>
      <c r="H13" s="1"/>
      <c r="I13" s="1"/>
    </row>
  </sheetData>
  <sheetProtection password="CC59" sheet="1"/>
  <mergeCells count="1">
    <mergeCell ref="C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gyomu04</cp:lastModifiedBy>
  <cp:lastPrinted>2019-06-28T01:07:03Z</cp:lastPrinted>
  <dcterms:created xsi:type="dcterms:W3CDTF">2001-01-23T08:26:38Z</dcterms:created>
  <dcterms:modified xsi:type="dcterms:W3CDTF">2019-10-18T06:00:08Z</dcterms:modified>
  <cp:category/>
  <cp:version/>
  <cp:contentType/>
  <cp:contentStatus/>
</cp:coreProperties>
</file>